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7.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8.xml" ContentType="application/vnd.openxmlformats-officedocument.drawing+xml"/>
  <Override PartName="/xl/comments1.xml" ContentType="application/vnd.openxmlformats-officedocument.spreadsheetml.comment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9.xml" ContentType="application/vnd.openxmlformats-officedocument.drawing+xml"/>
  <Override PartName="/xl/comments2.xml" ContentType="application/vnd.openxmlformats-officedocument.spreadsheetml.comment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0.xml" ContentType="application/vnd.openxmlformats-officedocument.drawing+xml"/>
  <Override PartName="/xl/comments3.xml" ContentType="application/vnd.openxmlformats-officedocument.spreadsheetml.comment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1.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2.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3.xml" ContentType="application/vnd.openxmlformats-officedocument.drawing+xml"/>
  <Override PartName="/xl/comments4.xml" ContentType="application/vnd.openxmlformats-officedocument.spreadsheetml.comments+xml"/>
  <Override PartName="/xl/drawings/drawing14.xml" ContentType="application/vnd.openxmlformats-officedocument.drawing+xml"/>
  <Override PartName="/xl/comments5.xml" ContentType="application/vnd.openxmlformats-officedocument.spreadsheetml.comments+xml"/>
  <Override PartName="/xl/drawings/drawing15.xml" ContentType="application/vnd.openxmlformats-officedocument.drawing+xml"/>
  <Override PartName="/xl/comments6.xml" ContentType="application/vnd.openxmlformats-officedocument.spreadsheetml.comments+xml"/>
  <Override PartName="/xl/drawings/drawing16.xml" ContentType="application/vnd.openxmlformats-officedocument.drawing+xml"/>
  <Override PartName="/xl/comments7.xml" ContentType="application/vnd.openxmlformats-officedocument.spreadsheetml.comments+xml"/>
  <Override PartName="/xl/drawings/drawing17.xml" ContentType="application/vnd.openxmlformats-officedocument.drawing+xml"/>
  <Override PartName="/xl/comments8.xml" ContentType="application/vnd.openxmlformats-officedocument.spreadsheetml.comments+xml"/>
  <Override PartName="/xl/drawings/drawing18.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drawings/drawing19.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filterPrivacy="1" codeName="ThisWorkbook"/>
  <xr:revisionPtr revIDLastSave="0" documentId="13_ncr:1_{ABE868C4-4D03-48D9-AE92-11D757B177B9}" xr6:coauthVersionLast="47" xr6:coauthVersionMax="47" xr10:uidLastSave="{00000000-0000-0000-0000-000000000000}"/>
  <bookViews>
    <workbookView xWindow="-120" yWindow="-120" windowWidth="20730" windowHeight="11160" tabRatio="751" firstSheet="2" activeTab="2" xr2:uid="{00000000-000D-0000-FFFF-FFFF00000000}"/>
  </bookViews>
  <sheets>
    <sheet name="Summary (old)" sheetId="17" state="hidden" r:id="rId1"/>
    <sheet name="BAU (Same Year)" sheetId="22" state="hidden" r:id="rId2"/>
    <sheet name="Summary (Main)" sheetId="23" r:id="rId3"/>
    <sheet name="BAU (Diff Year)" sheetId="20" state="hidden" r:id="rId4"/>
    <sheet name="Energy" sheetId="2" r:id="rId5"/>
    <sheet name="Water" sheetId="8" r:id="rId6"/>
    <sheet name="Waste 1 - Actual" sheetId="9" r:id="rId7"/>
    <sheet name="Waste 2 - Estimate" sheetId="10" r:id="rId8"/>
    <sheet name="Greenery " sheetId="13" r:id="rId9"/>
    <sheet name="Mobility 2 - Traffic (ORI)VOID" sheetId="33" state="hidden" r:id="rId10"/>
    <sheet name="Mobility 1 - Actual" sheetId="35" r:id="rId11"/>
    <sheet name="Mobility 2 - Estimate" sheetId="24" r:id="rId12"/>
    <sheet name="Mobility 2 - Traffic DATA 2017" sheetId="31" r:id="rId13"/>
    <sheet name="Mobility 2 - Traffic DATA 2018" sheetId="44" r:id="rId14"/>
    <sheet name="Mobility 2 - Traffic DATA 2019" sheetId="45" r:id="rId15"/>
    <sheet name="Mobility 2 - Traffic DATA 2020" sheetId="46" r:id="rId16"/>
    <sheet name="Mobility 2 - Traffic DATA 2021" sheetId="47" r:id="rId17"/>
    <sheet name="Mobility 2 - Traffic DATA 2022" sheetId="48" r:id="rId18"/>
    <sheet name="Mobility 2 - Traffic 2017 (BAK)" sheetId="38" state="hidden" r:id="rId19"/>
    <sheet name="Mobility 2 - Traffic (void2)" sheetId="25" state="hidden" r:id="rId20"/>
  </sheets>
  <externalReferences>
    <externalReference r:id="rId21"/>
    <externalReference r:id="rId22"/>
    <externalReference r:id="rId23"/>
    <externalReference r:id="rId24"/>
  </externalReferences>
  <definedNames>
    <definedName name="OLE_LINK1" localSheetId="0">'Summary (old)'!$A$1</definedName>
    <definedName name="_xlnm.Print_Area" localSheetId="4">Energy!$A$1:$H$50</definedName>
    <definedName name="_xlnm.Print_Area" localSheetId="8">'Greenery '!$A$1:$I$52</definedName>
    <definedName name="_xlnm.Print_Area" localSheetId="10">'Mobility 1 - Actual'!$A$1:$I$52</definedName>
    <definedName name="_xlnm.Print_Area" localSheetId="11">'Mobility 2 - Estimate'!$A$1:$I$99</definedName>
    <definedName name="_xlnm.Print_Area" localSheetId="18">'Mobility 2 - Traffic 2017 (BAK)'!$A$1:$I$111</definedName>
    <definedName name="_xlnm.Print_Area" localSheetId="12">'Mobility 2 - Traffic DATA 2017'!$A$1:$I$201</definedName>
    <definedName name="_xlnm.Print_Area" localSheetId="13">'Mobility 2 - Traffic DATA 2018'!$A$1:$I$201</definedName>
    <definedName name="_xlnm.Print_Area" localSheetId="14">'Mobility 2 - Traffic DATA 2019'!$A$1:$I$201</definedName>
    <definedName name="_xlnm.Print_Area" localSheetId="15">'Mobility 2 - Traffic DATA 2020'!$A$1:$I$201</definedName>
    <definedName name="_xlnm.Print_Area" localSheetId="16">'Mobility 2 - Traffic DATA 2021'!$A$1:$I$201</definedName>
    <definedName name="_xlnm.Print_Area" localSheetId="17">'Mobility 2 - Traffic DATA 2022'!$A$1:$I$200</definedName>
    <definedName name="_xlnm.Print_Area" localSheetId="2">'Summary (Main)'!$A$1:$I$67</definedName>
    <definedName name="_xlnm.Print_Area" localSheetId="6">'Waste 1 - Actual'!$A$1:$H$51</definedName>
    <definedName name="_xlnm.Print_Area" localSheetId="7">'Waste 2 - Estimate'!$A$1:$I$51</definedName>
    <definedName name="_xlnm.Print_Area" localSheetId="5">Water!$A$1:$H$51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6" i="23" l="1"/>
  <c r="E26" i="23"/>
  <c r="F26" i="23"/>
  <c r="D28" i="23"/>
  <c r="E28" i="23"/>
  <c r="F28" i="23"/>
  <c r="D29" i="23"/>
  <c r="E29" i="23"/>
  <c r="F29" i="23"/>
  <c r="D31" i="23"/>
  <c r="E31" i="23"/>
  <c r="F31" i="23"/>
  <c r="I32" i="23"/>
  <c r="H32" i="23"/>
  <c r="G32" i="23"/>
  <c r="G46" i="23"/>
  <c r="G47" i="23" s="1"/>
  <c r="G48" i="23" s="1"/>
  <c r="H46" i="23"/>
  <c r="H47" i="23" s="1"/>
  <c r="H48" i="23" s="1"/>
  <c r="H24" i="13"/>
  <c r="I24" i="13"/>
  <c r="H25" i="13"/>
  <c r="I25" i="13"/>
  <c r="H26" i="13"/>
  <c r="I26" i="13"/>
  <c r="H27" i="13"/>
  <c r="I27" i="13"/>
  <c r="H28" i="13"/>
  <c r="I28" i="13"/>
  <c r="H29" i="13"/>
  <c r="I29" i="13"/>
  <c r="H30" i="13"/>
  <c r="I30" i="13"/>
  <c r="H31" i="13"/>
  <c r="I31" i="13"/>
  <c r="H32" i="13"/>
  <c r="I32" i="13"/>
  <c r="H33" i="13"/>
  <c r="I33" i="13"/>
  <c r="H34" i="13"/>
  <c r="I34" i="13"/>
  <c r="G24" i="13"/>
  <c r="G25" i="13"/>
  <c r="G26" i="13"/>
  <c r="G27" i="13"/>
  <c r="G28" i="13"/>
  <c r="G29" i="13"/>
  <c r="G30" i="13"/>
  <c r="G31" i="13"/>
  <c r="G32" i="13"/>
  <c r="G33" i="13"/>
  <c r="G34" i="13"/>
  <c r="D185" i="48"/>
  <c r="B49" i="24" s="1"/>
  <c r="C49" i="24"/>
  <c r="F49" i="24"/>
  <c r="G49" i="24"/>
  <c r="A190" i="48"/>
  <c r="I185" i="48"/>
  <c r="H185" i="48"/>
  <c r="G185" i="48"/>
  <c r="E49" i="24" s="1"/>
  <c r="F185" i="48"/>
  <c r="D49" i="24" s="1"/>
  <c r="E185" i="48"/>
  <c r="C185" i="48"/>
  <c r="A171" i="48"/>
  <c r="A172" i="48" s="1"/>
  <c r="A173" i="48" s="1"/>
  <c r="A174" i="48" s="1"/>
  <c r="A175" i="48" s="1"/>
  <c r="A176" i="48" s="1"/>
  <c r="A177" i="48" s="1"/>
  <c r="A178" i="48" s="1"/>
  <c r="A179" i="48" s="1"/>
  <c r="A180" i="48" s="1"/>
  <c r="H132" i="48"/>
  <c r="G132" i="48"/>
  <c r="F132" i="48"/>
  <c r="I116" i="48"/>
  <c r="G116" i="48"/>
  <c r="I92" i="48"/>
  <c r="H92" i="48"/>
  <c r="G92" i="48"/>
  <c r="F92" i="48"/>
  <c r="E92" i="48"/>
  <c r="D92" i="48"/>
  <c r="I91" i="48"/>
  <c r="H91" i="48"/>
  <c r="G91" i="48"/>
  <c r="F91" i="48"/>
  <c r="E91" i="48"/>
  <c r="D91" i="48"/>
  <c r="I90" i="48"/>
  <c r="H90" i="48"/>
  <c r="G90" i="48"/>
  <c r="F90" i="48"/>
  <c r="E90" i="48"/>
  <c r="D90" i="48"/>
  <c r="I89" i="48"/>
  <c r="H89" i="48"/>
  <c r="G89" i="48"/>
  <c r="F89" i="48"/>
  <c r="E89" i="48"/>
  <c r="D89" i="48"/>
  <c r="I88" i="48"/>
  <c r="H88" i="48"/>
  <c r="G88" i="48"/>
  <c r="F88" i="48"/>
  <c r="E88" i="48"/>
  <c r="D88" i="48"/>
  <c r="I87" i="48"/>
  <c r="H87" i="48"/>
  <c r="G87" i="48"/>
  <c r="F87" i="48"/>
  <c r="E87" i="48"/>
  <c r="D87" i="48"/>
  <c r="I86" i="48"/>
  <c r="H86" i="48"/>
  <c r="G86" i="48"/>
  <c r="F86" i="48"/>
  <c r="F94" i="48" s="1"/>
  <c r="E86" i="48"/>
  <c r="D86" i="48"/>
  <c r="I85" i="48"/>
  <c r="H85" i="48"/>
  <c r="G85" i="48"/>
  <c r="F85" i="48"/>
  <c r="E85" i="48"/>
  <c r="D85" i="48"/>
  <c r="I84" i="48"/>
  <c r="H84" i="48"/>
  <c r="G84" i="48"/>
  <c r="F84" i="48"/>
  <c r="E84" i="48"/>
  <c r="D84" i="48"/>
  <c r="I83" i="48"/>
  <c r="H83" i="48"/>
  <c r="G83" i="48"/>
  <c r="F83" i="48"/>
  <c r="E83" i="48"/>
  <c r="D83" i="48"/>
  <c r="A83" i="48"/>
  <c r="A84" i="48" s="1"/>
  <c r="A85" i="48" s="1"/>
  <c r="A86" i="48" s="1"/>
  <c r="A87" i="48" s="1"/>
  <c r="A88" i="48" s="1"/>
  <c r="A89" i="48" s="1"/>
  <c r="A90" i="48" s="1"/>
  <c r="A91" i="48" s="1"/>
  <c r="A92" i="48" s="1"/>
  <c r="I82" i="48"/>
  <c r="I94" i="48" s="1"/>
  <c r="H82" i="48"/>
  <c r="H94" i="48" s="1"/>
  <c r="G82" i="48"/>
  <c r="F82" i="48"/>
  <c r="E82" i="48"/>
  <c r="E94" i="48" s="1"/>
  <c r="D82" i="48"/>
  <c r="K73" i="48"/>
  <c r="K69" i="48"/>
  <c r="F64" i="48"/>
  <c r="F63" i="48"/>
  <c r="F62" i="48"/>
  <c r="F61" i="48"/>
  <c r="E60" i="48"/>
  <c r="F60" i="48" s="1"/>
  <c r="E56" i="48"/>
  <c r="N56" i="48" s="1"/>
  <c r="N55" i="48"/>
  <c r="N53" i="48"/>
  <c r="N52" i="48"/>
  <c r="N51" i="48"/>
  <c r="H47" i="48"/>
  <c r="H46" i="48"/>
  <c r="H45" i="48"/>
  <c r="H44" i="48"/>
  <c r="H43" i="48"/>
  <c r="H42" i="48"/>
  <c r="F37" i="48"/>
  <c r="F36" i="48"/>
  <c r="F35" i="48"/>
  <c r="F34" i="48"/>
  <c r="F33" i="48"/>
  <c r="F32" i="48"/>
  <c r="F31" i="48"/>
  <c r="F30" i="48"/>
  <c r="F29" i="48"/>
  <c r="F28" i="48"/>
  <c r="F27" i="48"/>
  <c r="F26" i="48"/>
  <c r="F25" i="48"/>
  <c r="F24" i="48"/>
  <c r="F23" i="48"/>
  <c r="F22" i="48"/>
  <c r="F21" i="48"/>
  <c r="F20" i="48"/>
  <c r="F19" i="48"/>
  <c r="F18" i="48"/>
  <c r="F17" i="48"/>
  <c r="F16" i="48"/>
  <c r="F15" i="48"/>
  <c r="F14" i="48"/>
  <c r="F13" i="48"/>
  <c r="F12" i="48"/>
  <c r="C7" i="48"/>
  <c r="C6" i="48"/>
  <c r="C5" i="48"/>
  <c r="C4" i="48"/>
  <c r="C3" i="48"/>
  <c r="C48" i="24"/>
  <c r="D48" i="24"/>
  <c r="E48" i="24"/>
  <c r="F48" i="24"/>
  <c r="G48" i="24"/>
  <c r="B48" i="24"/>
  <c r="A190" i="47"/>
  <c r="I185" i="47"/>
  <c r="H185" i="47"/>
  <c r="G185" i="47"/>
  <c r="F185" i="47"/>
  <c r="E185" i="47"/>
  <c r="D185" i="47"/>
  <c r="C185" i="47"/>
  <c r="A171" i="47"/>
  <c r="A172" i="47" s="1"/>
  <c r="A173" i="47" s="1"/>
  <c r="A174" i="47" s="1"/>
  <c r="A175" i="47" s="1"/>
  <c r="A176" i="47" s="1"/>
  <c r="A177" i="47" s="1"/>
  <c r="A178" i="47" s="1"/>
  <c r="A179" i="47" s="1"/>
  <c r="A180" i="47" s="1"/>
  <c r="H132" i="47"/>
  <c r="G132" i="47"/>
  <c r="F132" i="47"/>
  <c r="I116" i="47"/>
  <c r="G116" i="47"/>
  <c r="I92" i="47"/>
  <c r="H92" i="47"/>
  <c r="G92" i="47"/>
  <c r="F92" i="47"/>
  <c r="E92" i="47"/>
  <c r="D92" i="47"/>
  <c r="I91" i="47"/>
  <c r="H91" i="47"/>
  <c r="G91" i="47"/>
  <c r="F91" i="47"/>
  <c r="E91" i="47"/>
  <c r="D91" i="47"/>
  <c r="I90" i="47"/>
  <c r="H90" i="47"/>
  <c r="G90" i="47"/>
  <c r="F90" i="47"/>
  <c r="E90" i="47"/>
  <c r="D90" i="47"/>
  <c r="I89" i="47"/>
  <c r="H89" i="47"/>
  <c r="G89" i="47"/>
  <c r="F89" i="47"/>
  <c r="E89" i="47"/>
  <c r="D89" i="47"/>
  <c r="I88" i="47"/>
  <c r="H88" i="47"/>
  <c r="G88" i="47"/>
  <c r="F88" i="47"/>
  <c r="E88" i="47"/>
  <c r="D88" i="47"/>
  <c r="I87" i="47"/>
  <c r="H87" i="47"/>
  <c r="G87" i="47"/>
  <c r="F87" i="47"/>
  <c r="E87" i="47"/>
  <c r="D87" i="47"/>
  <c r="I86" i="47"/>
  <c r="H86" i="47"/>
  <c r="G86" i="47"/>
  <c r="F86" i="47"/>
  <c r="E86" i="47"/>
  <c r="D86" i="47"/>
  <c r="I85" i="47"/>
  <c r="H85" i="47"/>
  <c r="G85" i="47"/>
  <c r="F85" i="47"/>
  <c r="E85" i="47"/>
  <c r="D85" i="47"/>
  <c r="I84" i="47"/>
  <c r="H84" i="47"/>
  <c r="G84" i="47"/>
  <c r="F84" i="47"/>
  <c r="E84" i="47"/>
  <c r="D84" i="47"/>
  <c r="I83" i="47"/>
  <c r="H83" i="47"/>
  <c r="G83" i="47"/>
  <c r="F83" i="47"/>
  <c r="E83" i="47"/>
  <c r="D83" i="47"/>
  <c r="A83" i="47"/>
  <c r="A84" i="47" s="1"/>
  <c r="A85" i="47" s="1"/>
  <c r="A86" i="47" s="1"/>
  <c r="A87" i="47" s="1"/>
  <c r="A88" i="47" s="1"/>
  <c r="A89" i="47" s="1"/>
  <c r="A90" i="47" s="1"/>
  <c r="A91" i="47" s="1"/>
  <c r="A92" i="47" s="1"/>
  <c r="I82" i="47"/>
  <c r="I94" i="47" s="1"/>
  <c r="H82" i="47"/>
  <c r="H94" i="47" s="1"/>
  <c r="G82" i="47"/>
  <c r="G94" i="47" s="1"/>
  <c r="G100" i="47" s="1"/>
  <c r="F82" i="47"/>
  <c r="F94" i="47" s="1"/>
  <c r="E82" i="47"/>
  <c r="E94" i="47" s="1"/>
  <c r="D82" i="47"/>
  <c r="D94" i="47" s="1"/>
  <c r="D99" i="47" s="1"/>
  <c r="K73" i="47"/>
  <c r="K69" i="47"/>
  <c r="F64" i="47"/>
  <c r="F63" i="47"/>
  <c r="F62" i="47"/>
  <c r="F61" i="47"/>
  <c r="E60" i="47"/>
  <c r="F60" i="47" s="1"/>
  <c r="E56" i="47"/>
  <c r="N56" i="47" s="1"/>
  <c r="N55" i="47"/>
  <c r="N53" i="47"/>
  <c r="N52" i="47"/>
  <c r="N51" i="47"/>
  <c r="H47" i="47"/>
  <c r="H46" i="47"/>
  <c r="H45" i="47"/>
  <c r="H44" i="47"/>
  <c r="H43" i="47"/>
  <c r="H42" i="47"/>
  <c r="F37" i="47"/>
  <c r="F36" i="47"/>
  <c r="F35" i="47"/>
  <c r="F34" i="47"/>
  <c r="F33" i="47"/>
  <c r="F32" i="47"/>
  <c r="F31" i="47"/>
  <c r="F30" i="47"/>
  <c r="F29" i="47"/>
  <c r="F28" i="47"/>
  <c r="F27" i="47"/>
  <c r="F26" i="47"/>
  <c r="F25" i="47"/>
  <c r="F24" i="47"/>
  <c r="F23" i="47"/>
  <c r="F22" i="47"/>
  <c r="F21" i="47"/>
  <c r="F20" i="47"/>
  <c r="F19" i="47"/>
  <c r="F18" i="47"/>
  <c r="F17" i="47"/>
  <c r="F16" i="47"/>
  <c r="F15" i="47"/>
  <c r="F14" i="47"/>
  <c r="F13" i="47"/>
  <c r="F12" i="47"/>
  <c r="C7" i="47"/>
  <c r="C6" i="47"/>
  <c r="C5" i="47"/>
  <c r="C4" i="47"/>
  <c r="C3" i="47"/>
  <c r="C47" i="24"/>
  <c r="D47" i="24"/>
  <c r="E47" i="24"/>
  <c r="F47" i="24"/>
  <c r="G47" i="24"/>
  <c r="B47" i="24"/>
  <c r="A190" i="46"/>
  <c r="I185" i="46"/>
  <c r="H185" i="46"/>
  <c r="G185" i="46"/>
  <c r="F185" i="46"/>
  <c r="E185" i="46"/>
  <c r="D185" i="46"/>
  <c r="C185" i="46"/>
  <c r="A171" i="46"/>
  <c r="A172" i="46" s="1"/>
  <c r="A173" i="46" s="1"/>
  <c r="A174" i="46" s="1"/>
  <c r="A175" i="46" s="1"/>
  <c r="A176" i="46" s="1"/>
  <c r="A177" i="46" s="1"/>
  <c r="A178" i="46" s="1"/>
  <c r="A179" i="46" s="1"/>
  <c r="A180" i="46" s="1"/>
  <c r="H132" i="46"/>
  <c r="G132" i="46"/>
  <c r="F132" i="46"/>
  <c r="I116" i="46"/>
  <c r="G116" i="46"/>
  <c r="I92" i="46"/>
  <c r="H92" i="46"/>
  <c r="G92" i="46"/>
  <c r="F92" i="46"/>
  <c r="E92" i="46"/>
  <c r="D92" i="46"/>
  <c r="I91" i="46"/>
  <c r="H91" i="46"/>
  <c r="G91" i="46"/>
  <c r="F91" i="46"/>
  <c r="E91" i="46"/>
  <c r="D91" i="46"/>
  <c r="I90" i="46"/>
  <c r="H90" i="46"/>
  <c r="G90" i="46"/>
  <c r="F90" i="46"/>
  <c r="E90" i="46"/>
  <c r="D90" i="46"/>
  <c r="I89" i="46"/>
  <c r="H89" i="46"/>
  <c r="G89" i="46"/>
  <c r="F89" i="46"/>
  <c r="E89" i="46"/>
  <c r="D89" i="46"/>
  <c r="I88" i="46"/>
  <c r="H88" i="46"/>
  <c r="G88" i="46"/>
  <c r="F88" i="46"/>
  <c r="E88" i="46"/>
  <c r="D88" i="46"/>
  <c r="I87" i="46"/>
  <c r="H87" i="46"/>
  <c r="G87" i="46"/>
  <c r="F87" i="46"/>
  <c r="E87" i="46"/>
  <c r="D87" i="46"/>
  <c r="I86" i="46"/>
  <c r="H86" i="46"/>
  <c r="G86" i="46"/>
  <c r="F86" i="46"/>
  <c r="E86" i="46"/>
  <c r="D86" i="46"/>
  <c r="D94" i="46" s="1"/>
  <c r="D99" i="46" s="1"/>
  <c r="I85" i="46"/>
  <c r="H85" i="46"/>
  <c r="G85" i="46"/>
  <c r="F85" i="46"/>
  <c r="E85" i="46"/>
  <c r="D85" i="46"/>
  <c r="I84" i="46"/>
  <c r="H84" i="46"/>
  <c r="G84" i="46"/>
  <c r="F84" i="46"/>
  <c r="E84" i="46"/>
  <c r="D84" i="46"/>
  <c r="I83" i="46"/>
  <c r="H83" i="46"/>
  <c r="G83" i="46"/>
  <c r="F83" i="46"/>
  <c r="E83" i="46"/>
  <c r="D83" i="46"/>
  <c r="A83" i="46"/>
  <c r="A84" i="46" s="1"/>
  <c r="A85" i="46" s="1"/>
  <c r="A86" i="46" s="1"/>
  <c r="A87" i="46" s="1"/>
  <c r="A88" i="46" s="1"/>
  <c r="A89" i="46" s="1"/>
  <c r="A90" i="46" s="1"/>
  <c r="A91" i="46" s="1"/>
  <c r="A92" i="46" s="1"/>
  <c r="I82" i="46"/>
  <c r="I94" i="46" s="1"/>
  <c r="H82" i="46"/>
  <c r="H94" i="46" s="1"/>
  <c r="G82" i="46"/>
  <c r="G94" i="46" s="1"/>
  <c r="G100" i="46" s="1"/>
  <c r="F82" i="46"/>
  <c r="F94" i="46" s="1"/>
  <c r="E82" i="46"/>
  <c r="E94" i="46" s="1"/>
  <c r="D82" i="46"/>
  <c r="K73" i="46"/>
  <c r="K69" i="46"/>
  <c r="F64" i="46"/>
  <c r="F63" i="46"/>
  <c r="F62" i="46"/>
  <c r="F61" i="46"/>
  <c r="E60" i="46"/>
  <c r="F60" i="46" s="1"/>
  <c r="E56" i="46"/>
  <c r="N56" i="46" s="1"/>
  <c r="N55" i="46"/>
  <c r="N53" i="46"/>
  <c r="N52" i="46"/>
  <c r="N51" i="46"/>
  <c r="H47" i="46"/>
  <c r="H46" i="46"/>
  <c r="H45" i="46"/>
  <c r="H44" i="46"/>
  <c r="H43" i="46"/>
  <c r="H42" i="46"/>
  <c r="F37" i="46"/>
  <c r="F36" i="46"/>
  <c r="F35" i="46"/>
  <c r="F34" i="46"/>
  <c r="F33" i="46"/>
  <c r="F32" i="46"/>
  <c r="F31" i="46"/>
  <c r="F30" i="46"/>
  <c r="F29" i="46"/>
  <c r="F28" i="46"/>
  <c r="F27" i="46"/>
  <c r="F26" i="46"/>
  <c r="F25" i="46"/>
  <c r="F24" i="46"/>
  <c r="F23" i="46"/>
  <c r="F22" i="46"/>
  <c r="F21" i="46"/>
  <c r="F20" i="46"/>
  <c r="F19" i="46"/>
  <c r="F18" i="46"/>
  <c r="F17" i="46"/>
  <c r="F16" i="46"/>
  <c r="F15" i="46"/>
  <c r="F14" i="46"/>
  <c r="F13" i="46"/>
  <c r="F12" i="46"/>
  <c r="C7" i="46"/>
  <c r="C6" i="46"/>
  <c r="C5" i="46"/>
  <c r="C4" i="46"/>
  <c r="C3" i="46"/>
  <c r="C46" i="24"/>
  <c r="D46" i="24"/>
  <c r="E46" i="24"/>
  <c r="F46" i="24"/>
  <c r="G46" i="24"/>
  <c r="B46" i="24"/>
  <c r="C45" i="24"/>
  <c r="D45" i="24"/>
  <c r="E45" i="24"/>
  <c r="F45" i="24"/>
  <c r="G45" i="24"/>
  <c r="B45" i="24"/>
  <c r="A190" i="45"/>
  <c r="I185" i="45"/>
  <c r="H185" i="45"/>
  <c r="G185" i="45"/>
  <c r="F185" i="45"/>
  <c r="E185" i="45"/>
  <c r="D185" i="45"/>
  <c r="C185" i="45"/>
  <c r="A172" i="45"/>
  <c r="A173" i="45" s="1"/>
  <c r="A174" i="45" s="1"/>
  <c r="A175" i="45" s="1"/>
  <c r="A176" i="45" s="1"/>
  <c r="A177" i="45" s="1"/>
  <c r="A178" i="45" s="1"/>
  <c r="A179" i="45" s="1"/>
  <c r="A180" i="45" s="1"/>
  <c r="A171" i="45"/>
  <c r="H132" i="45"/>
  <c r="G132" i="45"/>
  <c r="F132" i="45"/>
  <c r="I116" i="45"/>
  <c r="G116" i="45"/>
  <c r="I92" i="45"/>
  <c r="H92" i="45"/>
  <c r="G92" i="45"/>
  <c r="F92" i="45"/>
  <c r="E92" i="45"/>
  <c r="D92" i="45"/>
  <c r="I91" i="45"/>
  <c r="H91" i="45"/>
  <c r="G91" i="45"/>
  <c r="F91" i="45"/>
  <c r="E91" i="45"/>
  <c r="D91" i="45"/>
  <c r="I90" i="45"/>
  <c r="H90" i="45"/>
  <c r="G90" i="45"/>
  <c r="F90" i="45"/>
  <c r="E90" i="45"/>
  <c r="D90" i="45"/>
  <c r="I89" i="45"/>
  <c r="H89" i="45"/>
  <c r="G89" i="45"/>
  <c r="F89" i="45"/>
  <c r="E89" i="45"/>
  <c r="D89" i="45"/>
  <c r="I88" i="45"/>
  <c r="H88" i="45"/>
  <c r="G88" i="45"/>
  <c r="F88" i="45"/>
  <c r="E88" i="45"/>
  <c r="D88" i="45"/>
  <c r="I87" i="45"/>
  <c r="H87" i="45"/>
  <c r="G87" i="45"/>
  <c r="F87" i="45"/>
  <c r="E87" i="45"/>
  <c r="D87" i="45"/>
  <c r="I86" i="45"/>
  <c r="H86" i="45"/>
  <c r="G86" i="45"/>
  <c r="F86" i="45"/>
  <c r="E86" i="45"/>
  <c r="D86" i="45"/>
  <c r="I85" i="45"/>
  <c r="H85" i="45"/>
  <c r="G85" i="45"/>
  <c r="F85" i="45"/>
  <c r="E85" i="45"/>
  <c r="D85" i="45"/>
  <c r="A85" i="45"/>
  <c r="A86" i="45" s="1"/>
  <c r="A87" i="45" s="1"/>
  <c r="A88" i="45" s="1"/>
  <c r="A89" i="45" s="1"/>
  <c r="A90" i="45" s="1"/>
  <c r="A91" i="45" s="1"/>
  <c r="A92" i="45" s="1"/>
  <c r="I84" i="45"/>
  <c r="H84" i="45"/>
  <c r="G84" i="45"/>
  <c r="F84" i="45"/>
  <c r="E84" i="45"/>
  <c r="D84" i="45"/>
  <c r="A84" i="45"/>
  <c r="I83" i="45"/>
  <c r="H83" i="45"/>
  <c r="G83" i="45"/>
  <c r="F83" i="45"/>
  <c r="E83" i="45"/>
  <c r="D83" i="45"/>
  <c r="A83" i="45"/>
  <c r="I82" i="45"/>
  <c r="I94" i="45" s="1"/>
  <c r="H82" i="45"/>
  <c r="G82" i="45"/>
  <c r="F82" i="45"/>
  <c r="E82" i="45"/>
  <c r="E94" i="45" s="1"/>
  <c r="D82" i="45"/>
  <c r="K73" i="45"/>
  <c r="K69" i="45"/>
  <c r="F64" i="45"/>
  <c r="F63" i="45"/>
  <c r="F62" i="45"/>
  <c r="F61" i="45"/>
  <c r="E60" i="45"/>
  <c r="F60" i="45" s="1"/>
  <c r="E56" i="45"/>
  <c r="N56" i="45" s="1"/>
  <c r="N55" i="45"/>
  <c r="N53" i="45"/>
  <c r="N52" i="45"/>
  <c r="N51" i="45"/>
  <c r="H47" i="45"/>
  <c r="H46" i="45"/>
  <c r="H45" i="45"/>
  <c r="H44" i="45"/>
  <c r="H43" i="45"/>
  <c r="H42" i="45"/>
  <c r="F37" i="45"/>
  <c r="F36" i="45"/>
  <c r="F35" i="45"/>
  <c r="F34" i="45"/>
  <c r="F33" i="45"/>
  <c r="F32" i="45"/>
  <c r="F31" i="45"/>
  <c r="F30" i="45"/>
  <c r="F29" i="45"/>
  <c r="F28" i="45"/>
  <c r="F27" i="45"/>
  <c r="F26" i="45"/>
  <c r="F25" i="45"/>
  <c r="F24" i="45"/>
  <c r="F23" i="45"/>
  <c r="F22" i="45"/>
  <c r="F21" i="45"/>
  <c r="F20" i="45"/>
  <c r="F19" i="45"/>
  <c r="F18" i="45"/>
  <c r="F17" i="45"/>
  <c r="F16" i="45"/>
  <c r="F15" i="45"/>
  <c r="F14" i="45"/>
  <c r="F13" i="45"/>
  <c r="F12" i="45"/>
  <c r="C7" i="45"/>
  <c r="C6" i="45"/>
  <c r="C5" i="45"/>
  <c r="C4" i="45"/>
  <c r="C3" i="45"/>
  <c r="A190" i="44"/>
  <c r="I185" i="44"/>
  <c r="H185" i="44"/>
  <c r="G185" i="44"/>
  <c r="F185" i="44"/>
  <c r="E185" i="44"/>
  <c r="D185" i="44"/>
  <c r="C185" i="44"/>
  <c r="A171" i="44"/>
  <c r="A172" i="44" s="1"/>
  <c r="A173" i="44" s="1"/>
  <c r="A174" i="44" s="1"/>
  <c r="A175" i="44" s="1"/>
  <c r="A176" i="44" s="1"/>
  <c r="A177" i="44" s="1"/>
  <c r="A178" i="44" s="1"/>
  <c r="A179" i="44" s="1"/>
  <c r="A180" i="44" s="1"/>
  <c r="H132" i="44"/>
  <c r="G132" i="44"/>
  <c r="F132" i="44"/>
  <c r="I116" i="44"/>
  <c r="G116" i="44"/>
  <c r="I92" i="44"/>
  <c r="H92" i="44"/>
  <c r="G92" i="44"/>
  <c r="F92" i="44"/>
  <c r="E92" i="44"/>
  <c r="D92" i="44"/>
  <c r="I91" i="44"/>
  <c r="H91" i="44"/>
  <c r="G91" i="44"/>
  <c r="F91" i="44"/>
  <c r="E91" i="44"/>
  <c r="D91" i="44"/>
  <c r="I90" i="44"/>
  <c r="H90" i="44"/>
  <c r="G90" i="44"/>
  <c r="F90" i="44"/>
  <c r="E90" i="44"/>
  <c r="D90" i="44"/>
  <c r="I89" i="44"/>
  <c r="H89" i="44"/>
  <c r="G89" i="44"/>
  <c r="F89" i="44"/>
  <c r="E89" i="44"/>
  <c r="D89" i="44"/>
  <c r="I88" i="44"/>
  <c r="H88" i="44"/>
  <c r="G88" i="44"/>
  <c r="F88" i="44"/>
  <c r="E88" i="44"/>
  <c r="D88" i="44"/>
  <c r="I87" i="44"/>
  <c r="H87" i="44"/>
  <c r="G87" i="44"/>
  <c r="F87" i="44"/>
  <c r="E87" i="44"/>
  <c r="D87" i="44"/>
  <c r="I86" i="44"/>
  <c r="I94" i="44" s="1"/>
  <c r="H86" i="44"/>
  <c r="H94" i="44" s="1"/>
  <c r="G86" i="44"/>
  <c r="F86" i="44"/>
  <c r="E86" i="44"/>
  <c r="D86" i="44"/>
  <c r="I85" i="44"/>
  <c r="H85" i="44"/>
  <c r="G85" i="44"/>
  <c r="G94" i="44" s="1"/>
  <c r="G100" i="44" s="1"/>
  <c r="F85" i="44"/>
  <c r="E85" i="44"/>
  <c r="D85" i="44"/>
  <c r="I84" i="44"/>
  <c r="H84" i="44"/>
  <c r="G84" i="44"/>
  <c r="F84" i="44"/>
  <c r="E84" i="44"/>
  <c r="D84" i="44"/>
  <c r="I83" i="44"/>
  <c r="H83" i="44"/>
  <c r="G83" i="44"/>
  <c r="F83" i="44"/>
  <c r="E83" i="44"/>
  <c r="D83" i="44"/>
  <c r="A83" i="44"/>
  <c r="A84" i="44" s="1"/>
  <c r="A85" i="44" s="1"/>
  <c r="A86" i="44" s="1"/>
  <c r="A87" i="44" s="1"/>
  <c r="A88" i="44" s="1"/>
  <c r="A89" i="44" s="1"/>
  <c r="A90" i="44" s="1"/>
  <c r="A91" i="44" s="1"/>
  <c r="A92" i="44" s="1"/>
  <c r="I82" i="44"/>
  <c r="H82" i="44"/>
  <c r="G82" i="44"/>
  <c r="F82" i="44"/>
  <c r="F94" i="44" s="1"/>
  <c r="E82" i="44"/>
  <c r="E94" i="44" s="1"/>
  <c r="D82" i="44"/>
  <c r="D94" i="44" s="1"/>
  <c r="D99" i="44" s="1"/>
  <c r="K73" i="44"/>
  <c r="K69" i="44"/>
  <c r="F64" i="44"/>
  <c r="F63" i="44"/>
  <c r="F62" i="44"/>
  <c r="F61" i="44"/>
  <c r="E60" i="44"/>
  <c r="F60" i="44" s="1"/>
  <c r="N56" i="44"/>
  <c r="E56" i="44"/>
  <c r="N55" i="44"/>
  <c r="N53" i="44"/>
  <c r="N52" i="44"/>
  <c r="N51" i="44"/>
  <c r="H47" i="44"/>
  <c r="H46" i="44"/>
  <c r="H45" i="44"/>
  <c r="H44" i="44"/>
  <c r="H43" i="44"/>
  <c r="H42" i="44"/>
  <c r="F37" i="44"/>
  <c r="F36" i="44"/>
  <c r="F35" i="44"/>
  <c r="F34" i="44"/>
  <c r="F33" i="44"/>
  <c r="F32" i="44"/>
  <c r="F31" i="44"/>
  <c r="F30" i="44"/>
  <c r="F29" i="44"/>
  <c r="F28" i="44"/>
  <c r="F27" i="44"/>
  <c r="F26" i="44"/>
  <c r="F25" i="44"/>
  <c r="F24" i="44"/>
  <c r="F23" i="44"/>
  <c r="F22" i="44"/>
  <c r="F21" i="44"/>
  <c r="F20" i="44"/>
  <c r="F19" i="44"/>
  <c r="F18" i="44"/>
  <c r="F17" i="44"/>
  <c r="F16" i="44"/>
  <c r="F15" i="44"/>
  <c r="F14" i="44"/>
  <c r="F13" i="44"/>
  <c r="F12" i="44"/>
  <c r="C7" i="44"/>
  <c r="C6" i="44"/>
  <c r="C5" i="44"/>
  <c r="C4" i="44"/>
  <c r="C3" i="44"/>
  <c r="C4" i="31"/>
  <c r="C5" i="31"/>
  <c r="C6" i="31"/>
  <c r="C7" i="31"/>
  <c r="C3" i="31"/>
  <c r="D3" i="24"/>
  <c r="G27" i="10"/>
  <c r="H27" i="10"/>
  <c r="I27" i="10"/>
  <c r="I28" i="10" s="1"/>
  <c r="J27" i="10"/>
  <c r="J28" i="10" s="1"/>
  <c r="K27" i="10"/>
  <c r="L27" i="10"/>
  <c r="L28" i="10" s="1"/>
  <c r="M27" i="10"/>
  <c r="M28" i="10" s="1"/>
  <c r="N27" i="10"/>
  <c r="O27" i="10"/>
  <c r="O28" i="10" s="1"/>
  <c r="P27" i="10"/>
  <c r="P28" i="10" s="1"/>
  <c r="Q27" i="10"/>
  <c r="Q28" i="10" s="1"/>
  <c r="R27" i="10"/>
  <c r="R28" i="10" s="1"/>
  <c r="F27" i="10"/>
  <c r="E27" i="10"/>
  <c r="K28" i="10"/>
  <c r="N28" i="10"/>
  <c r="H28" i="10"/>
  <c r="F31" i="9"/>
  <c r="G31" i="9"/>
  <c r="H31" i="9"/>
  <c r="I31" i="9"/>
  <c r="J31" i="9"/>
  <c r="K31" i="9"/>
  <c r="L31" i="9"/>
  <c r="M31" i="9"/>
  <c r="N31" i="9"/>
  <c r="O31" i="9"/>
  <c r="P31" i="9"/>
  <c r="Q31" i="9"/>
  <c r="E31" i="9"/>
  <c r="F29" i="2"/>
  <c r="G29" i="2"/>
  <c r="H29" i="2"/>
  <c r="I29" i="2"/>
  <c r="J29" i="2"/>
  <c r="K29" i="2"/>
  <c r="L29" i="2"/>
  <c r="M29" i="2"/>
  <c r="N29" i="2"/>
  <c r="O29" i="2"/>
  <c r="P29" i="2"/>
  <c r="Q29" i="2"/>
  <c r="E29" i="2"/>
  <c r="G94" i="48" l="1"/>
  <c r="G100" i="48" s="1"/>
  <c r="G118" i="48" s="1"/>
  <c r="D94" i="48"/>
  <c r="D99" i="48" s="1"/>
  <c r="D115" i="48" s="1"/>
  <c r="D144" i="48" s="1"/>
  <c r="D102" i="48"/>
  <c r="E101" i="48"/>
  <c r="E99" i="48"/>
  <c r="F100" i="48"/>
  <c r="F118" i="48" s="1"/>
  <c r="F99" i="48"/>
  <c r="H100" i="48"/>
  <c r="H118" i="48" s="1"/>
  <c r="H99" i="48"/>
  <c r="I100" i="48"/>
  <c r="I101" i="48"/>
  <c r="E101" i="47"/>
  <c r="E99" i="47"/>
  <c r="F100" i="47"/>
  <c r="F118" i="47" s="1"/>
  <c r="F99" i="47"/>
  <c r="G118" i="47"/>
  <c r="G102" i="47"/>
  <c r="D115" i="47"/>
  <c r="D144" i="47" s="1"/>
  <c r="D113" i="47"/>
  <c r="D142" i="47" s="1"/>
  <c r="D111" i="47"/>
  <c r="D102" i="47"/>
  <c r="H100" i="47"/>
  <c r="H118" i="47" s="1"/>
  <c r="H99" i="47"/>
  <c r="I100" i="47"/>
  <c r="I101" i="47"/>
  <c r="D115" i="46"/>
  <c r="D144" i="46" s="1"/>
  <c r="D102" i="46"/>
  <c r="D113" i="46"/>
  <c r="D142" i="46" s="1"/>
  <c r="D111" i="46"/>
  <c r="F100" i="46"/>
  <c r="F118" i="46" s="1"/>
  <c r="F99" i="46"/>
  <c r="E101" i="46"/>
  <c r="E99" i="46"/>
  <c r="G102" i="46"/>
  <c r="G118" i="46"/>
  <c r="H100" i="46"/>
  <c r="H118" i="46" s="1"/>
  <c r="H99" i="46"/>
  <c r="I100" i="46"/>
  <c r="I101" i="46"/>
  <c r="H94" i="45"/>
  <c r="H100" i="45" s="1"/>
  <c r="H118" i="45" s="1"/>
  <c r="F94" i="45"/>
  <c r="F100" i="45" s="1"/>
  <c r="F118" i="45" s="1"/>
  <c r="G94" i="45"/>
  <c r="G100" i="45" s="1"/>
  <c r="G102" i="45" s="1"/>
  <c r="D94" i="45"/>
  <c r="D99" i="45" s="1"/>
  <c r="I100" i="45"/>
  <c r="I101" i="45"/>
  <c r="D115" i="45"/>
  <c r="D144" i="45" s="1"/>
  <c r="D111" i="45"/>
  <c r="D113" i="45"/>
  <c r="D142" i="45" s="1"/>
  <c r="D102" i="45"/>
  <c r="E101" i="45"/>
  <c r="E99" i="45"/>
  <c r="F99" i="45"/>
  <c r="I101" i="44"/>
  <c r="I100" i="44"/>
  <c r="E99" i="44"/>
  <c r="E101" i="44"/>
  <c r="G102" i="44"/>
  <c r="G118" i="44"/>
  <c r="F100" i="44"/>
  <c r="F118" i="44" s="1"/>
  <c r="F99" i="44"/>
  <c r="D113" i="44"/>
  <c r="D142" i="44" s="1"/>
  <c r="D111" i="44"/>
  <c r="D102" i="44"/>
  <c r="D115" i="44"/>
  <c r="D144" i="44" s="1"/>
  <c r="H99" i="44"/>
  <c r="H100" i="44"/>
  <c r="H118" i="44" s="1"/>
  <c r="G102" i="48" l="1"/>
  <c r="D111" i="48"/>
  <c r="D113" i="48"/>
  <c r="D142" i="48" s="1"/>
  <c r="F113" i="48"/>
  <c r="F102" i="48"/>
  <c r="G119" i="48"/>
  <c r="G147" i="48"/>
  <c r="G148" i="48" s="1"/>
  <c r="E190" i="48" s="1"/>
  <c r="F119" i="48"/>
  <c r="F147" i="48"/>
  <c r="F148" i="48" s="1"/>
  <c r="I131" i="48"/>
  <c r="I160" i="48" s="1"/>
  <c r="I129" i="48"/>
  <c r="I158" i="48" s="1"/>
  <c r="I127" i="48"/>
  <c r="I156" i="48" s="1"/>
  <c r="I125" i="48"/>
  <c r="E107" i="48"/>
  <c r="E113" i="48"/>
  <c r="E142" i="48" s="1"/>
  <c r="E111" i="48"/>
  <c r="E140" i="48" s="1"/>
  <c r="E102" i="48"/>
  <c r="E115" i="48"/>
  <c r="E144" i="48" s="1"/>
  <c r="E109" i="48"/>
  <c r="E138" i="48" s="1"/>
  <c r="I102" i="48"/>
  <c r="I118" i="48"/>
  <c r="E121" i="48"/>
  <c r="E123" i="48"/>
  <c r="E152" i="48" s="1"/>
  <c r="H113" i="48"/>
  <c r="H102" i="48"/>
  <c r="H119" i="48"/>
  <c r="H147" i="48"/>
  <c r="H148" i="48" s="1"/>
  <c r="D140" i="48"/>
  <c r="D116" i="48"/>
  <c r="D140" i="47"/>
  <c r="D145" i="47" s="1"/>
  <c r="B190" i="47" s="1"/>
  <c r="B62" i="24" s="1"/>
  <c r="D116" i="47"/>
  <c r="I131" i="47"/>
  <c r="I160" i="47" s="1"/>
  <c r="I129" i="47"/>
  <c r="I158" i="47" s="1"/>
  <c r="I127" i="47"/>
  <c r="I156" i="47" s="1"/>
  <c r="I125" i="47"/>
  <c r="I102" i="47"/>
  <c r="I118" i="47"/>
  <c r="E121" i="47"/>
  <c r="E123" i="47"/>
  <c r="E152" i="47" s="1"/>
  <c r="G119" i="47"/>
  <c r="G147" i="47"/>
  <c r="G148" i="47" s="1"/>
  <c r="E190" i="47" s="1"/>
  <c r="H113" i="47"/>
  <c r="H102" i="47"/>
  <c r="F113" i="47"/>
  <c r="F102" i="47"/>
  <c r="H119" i="47"/>
  <c r="H147" i="47"/>
  <c r="H148" i="47" s="1"/>
  <c r="F119" i="47"/>
  <c r="F147" i="47"/>
  <c r="F148" i="47" s="1"/>
  <c r="E107" i="47"/>
  <c r="E109" i="47"/>
  <c r="E138" i="47" s="1"/>
  <c r="E113" i="47"/>
  <c r="E142" i="47" s="1"/>
  <c r="E115" i="47"/>
  <c r="E144" i="47" s="1"/>
  <c r="E111" i="47"/>
  <c r="E140" i="47" s="1"/>
  <c r="E102" i="47"/>
  <c r="G147" i="46"/>
  <c r="G148" i="46" s="1"/>
  <c r="E190" i="46" s="1"/>
  <c r="G119" i="46"/>
  <c r="E107" i="46"/>
  <c r="E109" i="46"/>
  <c r="E138" i="46" s="1"/>
  <c r="E113" i="46"/>
  <c r="E142" i="46" s="1"/>
  <c r="E115" i="46"/>
  <c r="E144" i="46" s="1"/>
  <c r="E111" i="46"/>
  <c r="E140" i="46" s="1"/>
  <c r="E102" i="46"/>
  <c r="E121" i="46"/>
  <c r="E123" i="46"/>
  <c r="E152" i="46" s="1"/>
  <c r="I131" i="46"/>
  <c r="I160" i="46" s="1"/>
  <c r="I129" i="46"/>
  <c r="I158" i="46" s="1"/>
  <c r="I125" i="46"/>
  <c r="I127" i="46"/>
  <c r="I156" i="46" s="1"/>
  <c r="F113" i="46"/>
  <c r="F102" i="46"/>
  <c r="I102" i="46"/>
  <c r="I118" i="46"/>
  <c r="F147" i="46"/>
  <c r="F148" i="46" s="1"/>
  <c r="F119" i="46"/>
  <c r="H113" i="46"/>
  <c r="H102" i="46"/>
  <c r="D116" i="46"/>
  <c r="D140" i="46"/>
  <c r="D145" i="46" s="1"/>
  <c r="B190" i="46" s="1"/>
  <c r="B60" i="24" s="1"/>
  <c r="H119" i="46"/>
  <c r="H147" i="46"/>
  <c r="H148" i="46" s="1"/>
  <c r="G118" i="45"/>
  <c r="H99" i="45"/>
  <c r="H102" i="45" s="1"/>
  <c r="H119" i="45"/>
  <c r="H147" i="45"/>
  <c r="H148" i="45" s="1"/>
  <c r="D116" i="45"/>
  <c r="D140" i="45"/>
  <c r="D145" i="45" s="1"/>
  <c r="B190" i="45" s="1"/>
  <c r="B58" i="24" s="1"/>
  <c r="F113" i="45"/>
  <c r="F102" i="45"/>
  <c r="F119" i="45"/>
  <c r="F147" i="45"/>
  <c r="F148" i="45" s="1"/>
  <c r="E107" i="45"/>
  <c r="E113" i="45"/>
  <c r="E142" i="45" s="1"/>
  <c r="E111" i="45"/>
  <c r="E140" i="45" s="1"/>
  <c r="E102" i="45"/>
  <c r="E115" i="45"/>
  <c r="E144" i="45" s="1"/>
  <c r="E109" i="45"/>
  <c r="E138" i="45" s="1"/>
  <c r="I125" i="45"/>
  <c r="I131" i="45"/>
  <c r="I160" i="45" s="1"/>
  <c r="I129" i="45"/>
  <c r="I158" i="45" s="1"/>
  <c r="I127" i="45"/>
  <c r="I156" i="45" s="1"/>
  <c r="E121" i="45"/>
  <c r="E123" i="45"/>
  <c r="E152" i="45" s="1"/>
  <c r="I102" i="45"/>
  <c r="I118" i="45"/>
  <c r="G147" i="45"/>
  <c r="G148" i="45" s="1"/>
  <c r="E190" i="45" s="1"/>
  <c r="G119" i="45"/>
  <c r="H113" i="45"/>
  <c r="E113" i="44"/>
  <c r="E142" i="44" s="1"/>
  <c r="E111" i="44"/>
  <c r="E140" i="44" s="1"/>
  <c r="E102" i="44"/>
  <c r="E107" i="44"/>
  <c r="E115" i="44"/>
  <c r="E144" i="44" s="1"/>
  <c r="E109" i="44"/>
  <c r="E138" i="44" s="1"/>
  <c r="I131" i="44"/>
  <c r="I160" i="44" s="1"/>
  <c r="I129" i="44"/>
  <c r="I158" i="44" s="1"/>
  <c r="I127" i="44"/>
  <c r="I156" i="44" s="1"/>
  <c r="I125" i="44"/>
  <c r="F102" i="44"/>
  <c r="F113" i="44"/>
  <c r="D140" i="44"/>
  <c r="D145" i="44" s="1"/>
  <c r="B190" i="44" s="1"/>
  <c r="B56" i="24" s="1"/>
  <c r="D116" i="44"/>
  <c r="F119" i="44"/>
  <c r="F147" i="44"/>
  <c r="F148" i="44" s="1"/>
  <c r="G119" i="44"/>
  <c r="G147" i="44"/>
  <c r="G148" i="44" s="1"/>
  <c r="E190" i="44" s="1"/>
  <c r="H113" i="44"/>
  <c r="H102" i="44"/>
  <c r="I118" i="44"/>
  <c r="I102" i="44"/>
  <c r="H147" i="44"/>
  <c r="H148" i="44" s="1"/>
  <c r="H119" i="44"/>
  <c r="E123" i="44"/>
  <c r="E152" i="44" s="1"/>
  <c r="E121" i="44"/>
  <c r="E191" i="46" l="1"/>
  <c r="E61" i="24" s="1"/>
  <c r="E60" i="24"/>
  <c r="E191" i="47"/>
  <c r="E63" i="24" s="1"/>
  <c r="E62" i="24"/>
  <c r="E191" i="44"/>
  <c r="E57" i="24" s="1"/>
  <c r="E56" i="24"/>
  <c r="E191" i="45"/>
  <c r="E59" i="24" s="1"/>
  <c r="E58" i="24"/>
  <c r="E191" i="48"/>
  <c r="E65" i="24" s="1"/>
  <c r="E64" i="24"/>
  <c r="D145" i="48"/>
  <c r="B190" i="48" s="1"/>
  <c r="B64" i="24" s="1"/>
  <c r="F116" i="48"/>
  <c r="F142" i="48"/>
  <c r="F145" i="48" s="1"/>
  <c r="D190" i="48" s="1"/>
  <c r="I154" i="48"/>
  <c r="I161" i="48" s="1"/>
  <c r="I132" i="48"/>
  <c r="H116" i="48"/>
  <c r="H142" i="48"/>
  <c r="H145" i="48" s="1"/>
  <c r="F190" i="48" s="1"/>
  <c r="I119" i="48"/>
  <c r="I147" i="48"/>
  <c r="I148" i="48" s="1"/>
  <c r="E132" i="48"/>
  <c r="E150" i="48"/>
  <c r="E161" i="48" s="1"/>
  <c r="E136" i="48"/>
  <c r="E145" i="48" s="1"/>
  <c r="E116" i="48"/>
  <c r="I119" i="47"/>
  <c r="I147" i="47"/>
  <c r="I148" i="47" s="1"/>
  <c r="F116" i="47"/>
  <c r="F142" i="47"/>
  <c r="F145" i="47" s="1"/>
  <c r="D190" i="47" s="1"/>
  <c r="I154" i="47"/>
  <c r="I161" i="47" s="1"/>
  <c r="I132" i="47"/>
  <c r="E136" i="47"/>
  <c r="E145" i="47" s="1"/>
  <c r="C190" i="47" s="1"/>
  <c r="E116" i="47"/>
  <c r="H116" i="47"/>
  <c r="H142" i="47"/>
  <c r="H145" i="47" s="1"/>
  <c r="F190" i="47" s="1"/>
  <c r="E132" i="47"/>
  <c r="E150" i="47"/>
  <c r="E161" i="47" s="1"/>
  <c r="B191" i="47"/>
  <c r="B63" i="24" s="1"/>
  <c r="E132" i="46"/>
  <c r="E150" i="46"/>
  <c r="E161" i="46" s="1"/>
  <c r="F116" i="46"/>
  <c r="F142" i="46"/>
  <c r="F145" i="46" s="1"/>
  <c r="D190" i="46" s="1"/>
  <c r="B191" i="46"/>
  <c r="B61" i="24" s="1"/>
  <c r="H142" i="46"/>
  <c r="H145" i="46" s="1"/>
  <c r="F190" i="46" s="1"/>
  <c r="H116" i="46"/>
  <c r="I154" i="46"/>
  <c r="I161" i="46" s="1"/>
  <c r="I132" i="46"/>
  <c r="E136" i="46"/>
  <c r="E145" i="46" s="1"/>
  <c r="C190" i="46" s="1"/>
  <c r="E116" i="46"/>
  <c r="I119" i="46"/>
  <c r="I147" i="46"/>
  <c r="I148" i="46" s="1"/>
  <c r="E132" i="45"/>
  <c r="E150" i="45"/>
  <c r="E161" i="45" s="1"/>
  <c r="H116" i="45"/>
  <c r="H142" i="45"/>
  <c r="H145" i="45" s="1"/>
  <c r="F190" i="45" s="1"/>
  <c r="E136" i="45"/>
  <c r="E145" i="45" s="1"/>
  <c r="E116" i="45"/>
  <c r="I154" i="45"/>
  <c r="I161" i="45" s="1"/>
  <c r="I132" i="45"/>
  <c r="I119" i="45"/>
  <c r="I147" i="45"/>
  <c r="I148" i="45" s="1"/>
  <c r="F116" i="45"/>
  <c r="F142" i="45"/>
  <c r="F145" i="45" s="1"/>
  <c r="D190" i="45" s="1"/>
  <c r="B191" i="45"/>
  <c r="B59" i="24" s="1"/>
  <c r="E132" i="44"/>
  <c r="E150" i="44"/>
  <c r="E161" i="44" s="1"/>
  <c r="I147" i="44"/>
  <c r="I148" i="44" s="1"/>
  <c r="I119" i="44"/>
  <c r="H116" i="44"/>
  <c r="H142" i="44"/>
  <c r="H145" i="44" s="1"/>
  <c r="F190" i="44" s="1"/>
  <c r="I154" i="44"/>
  <c r="I161" i="44" s="1"/>
  <c r="I132" i="44"/>
  <c r="B191" i="44"/>
  <c r="B57" i="24" s="1"/>
  <c r="F116" i="44"/>
  <c r="F142" i="44"/>
  <c r="F145" i="44" s="1"/>
  <c r="D190" i="44" s="1"/>
  <c r="E136" i="44"/>
  <c r="E145" i="44" s="1"/>
  <c r="E116" i="44"/>
  <c r="G190" i="44" l="1"/>
  <c r="G191" i="44" s="1"/>
  <c r="G57" i="24" s="1"/>
  <c r="G190" i="48"/>
  <c r="G191" i="48" s="1"/>
  <c r="G65" i="24" s="1"/>
  <c r="D191" i="44"/>
  <c r="D57" i="24" s="1"/>
  <c r="D56" i="24"/>
  <c r="D191" i="46"/>
  <c r="D61" i="24" s="1"/>
  <c r="D60" i="24"/>
  <c r="C191" i="46"/>
  <c r="C61" i="24" s="1"/>
  <c r="C60" i="24"/>
  <c r="C191" i="47"/>
  <c r="C63" i="24" s="1"/>
  <c r="C62" i="24"/>
  <c r="D191" i="45"/>
  <c r="D59" i="24" s="1"/>
  <c r="D58" i="24"/>
  <c r="F191" i="45"/>
  <c r="F59" i="24" s="1"/>
  <c r="F58" i="24"/>
  <c r="F191" i="44"/>
  <c r="F57" i="24" s="1"/>
  <c r="F56" i="24"/>
  <c r="D191" i="47"/>
  <c r="D63" i="24" s="1"/>
  <c r="D62" i="24"/>
  <c r="F191" i="46"/>
  <c r="F61" i="24" s="1"/>
  <c r="F60" i="24"/>
  <c r="F191" i="47"/>
  <c r="F63" i="24" s="1"/>
  <c r="F62" i="24"/>
  <c r="F191" i="48"/>
  <c r="F65" i="24" s="1"/>
  <c r="F64" i="24"/>
  <c r="D191" i="48"/>
  <c r="D65" i="24" s="1"/>
  <c r="D64" i="24"/>
  <c r="B191" i="48"/>
  <c r="B65" i="24" s="1"/>
  <c r="C190" i="48"/>
  <c r="C64" i="24" s="1"/>
  <c r="G190" i="47"/>
  <c r="H190" i="47" s="1"/>
  <c r="H62" i="24" s="1"/>
  <c r="G190" i="46"/>
  <c r="C190" i="45"/>
  <c r="H190" i="45"/>
  <c r="H58" i="24" s="1"/>
  <c r="G190" i="45"/>
  <c r="C190" i="44"/>
  <c r="C56" i="24" s="1"/>
  <c r="G56" i="24" l="1"/>
  <c r="G64" i="24"/>
  <c r="G191" i="47"/>
  <c r="G62" i="24"/>
  <c r="G191" i="45"/>
  <c r="G58" i="24"/>
  <c r="C191" i="45"/>
  <c r="C59" i="24" s="1"/>
  <c r="C58" i="24"/>
  <c r="G191" i="46"/>
  <c r="G60" i="24"/>
  <c r="C191" i="48"/>
  <c r="H190" i="48"/>
  <c r="H64" i="24" s="1"/>
  <c r="H190" i="46"/>
  <c r="H60" i="24" s="1"/>
  <c r="C191" i="44"/>
  <c r="H190" i="44"/>
  <c r="H56" i="24" s="1"/>
  <c r="I191" i="46" l="1"/>
  <c r="I61" i="24" s="1"/>
  <c r="G61" i="24"/>
  <c r="I191" i="44"/>
  <c r="I57" i="24" s="1"/>
  <c r="C57" i="24"/>
  <c r="I191" i="45"/>
  <c r="I59" i="24" s="1"/>
  <c r="G59" i="24"/>
  <c r="I191" i="47"/>
  <c r="I63" i="24" s="1"/>
  <c r="G63" i="24"/>
  <c r="I191" i="48"/>
  <c r="I65" i="24" s="1"/>
  <c r="C65" i="24"/>
  <c r="I45" i="23" l="1"/>
  <c r="I46" i="23" s="1"/>
  <c r="I47" i="23" s="1"/>
  <c r="I48" i="23" s="1"/>
  <c r="I29" i="23"/>
  <c r="A64" i="24" l="1"/>
  <c r="A62" i="24"/>
  <c r="A60" i="24"/>
  <c r="A23" i="13" l="1"/>
  <c r="A24" i="13" s="1"/>
  <c r="A25" i="13" s="1"/>
  <c r="A26" i="13" s="1"/>
  <c r="A27" i="13" s="1"/>
  <c r="A28" i="13" s="1"/>
  <c r="A29" i="13" s="1"/>
  <c r="A30" i="13" s="1"/>
  <c r="A31" i="13" s="1"/>
  <c r="A32" i="13" s="1"/>
  <c r="A33" i="13" s="1"/>
  <c r="A34" i="13" s="1"/>
  <c r="B21" i="13"/>
  <c r="A17" i="8"/>
  <c r="A18" i="8" s="1"/>
  <c r="A19" i="8" s="1"/>
  <c r="A20" i="8" s="1"/>
  <c r="A21" i="8" s="1"/>
  <c r="A22" i="8" s="1"/>
  <c r="A23" i="8" s="1"/>
  <c r="A24" i="8" s="1"/>
  <c r="A25" i="8" s="1"/>
  <c r="C45" i="23"/>
  <c r="D44" i="23" l="1"/>
  <c r="E44" i="23" s="1"/>
  <c r="F44" i="23" s="1"/>
  <c r="G44" i="23" s="1"/>
  <c r="H44" i="23" s="1"/>
  <c r="I44" i="23" s="1"/>
  <c r="D24" i="23" l="1"/>
  <c r="C25" i="23"/>
  <c r="C26" i="23"/>
  <c r="C28" i="23"/>
  <c r="C29" i="23"/>
  <c r="C31" i="23"/>
  <c r="B32" i="23" l="1"/>
  <c r="B31" i="23"/>
  <c r="F32" i="23" l="1"/>
  <c r="G172" i="38"/>
  <c r="F172" i="38"/>
  <c r="E172" i="38"/>
  <c r="H156" i="38"/>
  <c r="F156" i="38"/>
  <c r="H132" i="38"/>
  <c r="G132" i="38"/>
  <c r="F132" i="38"/>
  <c r="E132" i="38"/>
  <c r="D132" i="38"/>
  <c r="C132" i="38"/>
  <c r="H131" i="38"/>
  <c r="G131" i="38"/>
  <c r="F131" i="38"/>
  <c r="E131" i="38"/>
  <c r="D131" i="38"/>
  <c r="C131" i="38"/>
  <c r="H130" i="38"/>
  <c r="G130" i="38"/>
  <c r="F130" i="38"/>
  <c r="E130" i="38"/>
  <c r="D130" i="38"/>
  <c r="C130" i="38"/>
  <c r="H129" i="38"/>
  <c r="G129" i="38"/>
  <c r="F129" i="38"/>
  <c r="E129" i="38"/>
  <c r="D129" i="38"/>
  <c r="C129" i="38"/>
  <c r="H128" i="38"/>
  <c r="G128" i="38"/>
  <c r="F128" i="38"/>
  <c r="E128" i="38"/>
  <c r="D128" i="38"/>
  <c r="C128" i="38"/>
  <c r="H127" i="38"/>
  <c r="G127" i="38"/>
  <c r="F127" i="38"/>
  <c r="E127" i="38"/>
  <c r="D127" i="38"/>
  <c r="C127" i="38"/>
  <c r="H126" i="38"/>
  <c r="G126" i="38"/>
  <c r="F126" i="38"/>
  <c r="E126" i="38"/>
  <c r="D126" i="38"/>
  <c r="C126" i="38"/>
  <c r="H125" i="38"/>
  <c r="G125" i="38"/>
  <c r="F125" i="38"/>
  <c r="E125" i="38"/>
  <c r="D125" i="38"/>
  <c r="C125" i="38"/>
  <c r="H124" i="38"/>
  <c r="G124" i="38"/>
  <c r="F124" i="38"/>
  <c r="E124" i="38"/>
  <c r="D124" i="38"/>
  <c r="C124" i="38"/>
  <c r="A124" i="38"/>
  <c r="A125" i="38" s="1"/>
  <c r="A126" i="38" s="1"/>
  <c r="A127" i="38" s="1"/>
  <c r="A128" i="38" s="1"/>
  <c r="A129" i="38" s="1"/>
  <c r="A130" i="38" s="1"/>
  <c r="A131" i="38" s="1"/>
  <c r="A132" i="38" s="1"/>
  <c r="H123" i="38"/>
  <c r="G123" i="38"/>
  <c r="F123" i="38"/>
  <c r="E123" i="38"/>
  <c r="D123" i="38"/>
  <c r="C123" i="38"/>
  <c r="A123" i="38"/>
  <c r="H122" i="38"/>
  <c r="H134" i="38" s="1"/>
  <c r="G122" i="38"/>
  <c r="F122" i="38"/>
  <c r="E122" i="38"/>
  <c r="E134" i="38" s="1"/>
  <c r="D122" i="38"/>
  <c r="C122" i="38"/>
  <c r="A101" i="38"/>
  <c r="H96" i="38"/>
  <c r="G96" i="38"/>
  <c r="F96" i="38"/>
  <c r="E96" i="38"/>
  <c r="D96" i="38"/>
  <c r="C96" i="38"/>
  <c r="B96" i="38"/>
  <c r="A82" i="38"/>
  <c r="A83" i="38" s="1"/>
  <c r="A84" i="38" s="1"/>
  <c r="A85" i="38" s="1"/>
  <c r="A86" i="38" s="1"/>
  <c r="A87" i="38" s="1"/>
  <c r="A88" i="38" s="1"/>
  <c r="A89" i="38" s="1"/>
  <c r="A90" i="38" s="1"/>
  <c r="A91" i="38" s="1"/>
  <c r="J73" i="38"/>
  <c r="J69" i="38"/>
  <c r="E64" i="38"/>
  <c r="E63" i="38"/>
  <c r="E62" i="38"/>
  <c r="E61" i="38"/>
  <c r="D60" i="38"/>
  <c r="E60" i="38" s="1"/>
  <c r="D56" i="38"/>
  <c r="M56" i="38" s="1"/>
  <c r="M55" i="38"/>
  <c r="M53" i="38"/>
  <c r="M52" i="38"/>
  <c r="M51" i="38"/>
  <c r="G47" i="38"/>
  <c r="G46" i="38"/>
  <c r="G45" i="38"/>
  <c r="G44" i="38"/>
  <c r="G43" i="38"/>
  <c r="G42" i="38"/>
  <c r="E37" i="38"/>
  <c r="E36" i="38"/>
  <c r="E35" i="38"/>
  <c r="E34" i="38"/>
  <c r="E33" i="38"/>
  <c r="E32" i="38"/>
  <c r="E31" i="38"/>
  <c r="E30" i="38"/>
  <c r="E29" i="38"/>
  <c r="E28" i="38"/>
  <c r="E27" i="38"/>
  <c r="E26" i="38"/>
  <c r="E25" i="38"/>
  <c r="E24" i="38"/>
  <c r="E23" i="38"/>
  <c r="E22" i="38"/>
  <c r="E21" i="38"/>
  <c r="E20" i="38"/>
  <c r="E19" i="38"/>
  <c r="E18" i="38"/>
  <c r="E17" i="38"/>
  <c r="E16" i="38"/>
  <c r="E15" i="38"/>
  <c r="E14" i="38"/>
  <c r="E13" i="38"/>
  <c r="E12" i="38"/>
  <c r="D7" i="38"/>
  <c r="D6" i="38"/>
  <c r="D5" i="38"/>
  <c r="D4" i="38"/>
  <c r="D3" i="38"/>
  <c r="C134" i="38" l="1"/>
  <c r="C139" i="38" s="1"/>
  <c r="D134" i="38"/>
  <c r="F134" i="38"/>
  <c r="F140" i="38" s="1"/>
  <c r="G134" i="38"/>
  <c r="C155" i="38"/>
  <c r="C184" i="38" s="1"/>
  <c r="C153" i="38"/>
  <c r="C182" i="38" s="1"/>
  <c r="C151" i="38"/>
  <c r="C142" i="38"/>
  <c r="E140" i="38"/>
  <c r="E158" i="38" s="1"/>
  <c r="E139" i="38"/>
  <c r="F142" i="38"/>
  <c r="F158" i="38"/>
  <c r="D141" i="38"/>
  <c r="D139" i="38"/>
  <c r="G140" i="38"/>
  <c r="G158" i="38" s="1"/>
  <c r="G139" i="38"/>
  <c r="H140" i="38"/>
  <c r="H141" i="38"/>
  <c r="H132" i="31"/>
  <c r="G132" i="31"/>
  <c r="F132" i="31"/>
  <c r="I116" i="31"/>
  <c r="G116" i="31"/>
  <c r="D87" i="31"/>
  <c r="E87" i="31"/>
  <c r="F87" i="31"/>
  <c r="G87" i="31"/>
  <c r="H87" i="31"/>
  <c r="I87" i="31"/>
  <c r="D88" i="31"/>
  <c r="E88" i="31"/>
  <c r="F88" i="31"/>
  <c r="G88" i="31"/>
  <c r="H88" i="31"/>
  <c r="I88" i="31"/>
  <c r="D89" i="31"/>
  <c r="E89" i="31"/>
  <c r="F89" i="31"/>
  <c r="G89" i="31"/>
  <c r="H89" i="31"/>
  <c r="I89" i="31"/>
  <c r="D90" i="31"/>
  <c r="E90" i="31"/>
  <c r="F90" i="31"/>
  <c r="G90" i="31"/>
  <c r="H90" i="31"/>
  <c r="I90" i="31"/>
  <c r="D91" i="31"/>
  <c r="E91" i="31"/>
  <c r="F91" i="31"/>
  <c r="G91" i="31"/>
  <c r="H91" i="31"/>
  <c r="I91" i="31"/>
  <c r="D92" i="31"/>
  <c r="E92" i="31"/>
  <c r="F92" i="31"/>
  <c r="G92" i="31"/>
  <c r="H92" i="31"/>
  <c r="I92" i="31"/>
  <c r="A83" i="31"/>
  <c r="A84" i="31" s="1"/>
  <c r="A85" i="31" s="1"/>
  <c r="A86" i="31" s="1"/>
  <c r="A87" i="31" s="1"/>
  <c r="A88" i="31" s="1"/>
  <c r="A89" i="31" s="1"/>
  <c r="A90" i="31" s="1"/>
  <c r="A91" i="31" s="1"/>
  <c r="A92" i="31" s="1"/>
  <c r="E82" i="31"/>
  <c r="F82" i="31"/>
  <c r="G82" i="31"/>
  <c r="H82" i="31"/>
  <c r="I82" i="31"/>
  <c r="E83" i="31"/>
  <c r="F83" i="31"/>
  <c r="G83" i="31"/>
  <c r="H83" i="31"/>
  <c r="I83" i="31"/>
  <c r="E84" i="31"/>
  <c r="F84" i="31"/>
  <c r="G84" i="31"/>
  <c r="H84" i="31"/>
  <c r="I84" i="31"/>
  <c r="E85" i="31"/>
  <c r="F85" i="31"/>
  <c r="G85" i="31"/>
  <c r="H85" i="31"/>
  <c r="I85" i="31"/>
  <c r="E86" i="31"/>
  <c r="F86" i="31"/>
  <c r="G86" i="31"/>
  <c r="H86" i="31"/>
  <c r="I86" i="31"/>
  <c r="D83" i="31"/>
  <c r="D84" i="31"/>
  <c r="D85" i="31"/>
  <c r="D86" i="31"/>
  <c r="D82" i="31"/>
  <c r="C185" i="31"/>
  <c r="E185" i="31"/>
  <c r="C44" i="24" s="1"/>
  <c r="F185" i="31"/>
  <c r="D44" i="24" s="1"/>
  <c r="G185" i="31"/>
  <c r="E44" i="24" s="1"/>
  <c r="H185" i="31"/>
  <c r="F44" i="24" s="1"/>
  <c r="I185" i="31"/>
  <c r="G44" i="24" s="1"/>
  <c r="D185" i="31"/>
  <c r="B44" i="24" s="1"/>
  <c r="G94" i="31" l="1"/>
  <c r="D94" i="31"/>
  <c r="E94" i="31"/>
  <c r="F94" i="31"/>
  <c r="I94" i="31"/>
  <c r="H94" i="31"/>
  <c r="F159" i="38"/>
  <c r="F187" i="38"/>
  <c r="F188" i="38" s="1"/>
  <c r="E101" i="38" s="1"/>
  <c r="E102" i="38" s="1"/>
  <c r="G159" i="38"/>
  <c r="G187" i="38"/>
  <c r="G188" i="38" s="1"/>
  <c r="D147" i="38"/>
  <c r="D142" i="38"/>
  <c r="D153" i="38"/>
  <c r="D182" i="38" s="1"/>
  <c r="D151" i="38"/>
  <c r="D180" i="38" s="1"/>
  <c r="D155" i="38"/>
  <c r="D184" i="38" s="1"/>
  <c r="D149" i="38"/>
  <c r="D178" i="38" s="1"/>
  <c r="D161" i="38"/>
  <c r="D163" i="38"/>
  <c r="D192" i="38" s="1"/>
  <c r="H171" i="38"/>
  <c r="H200" i="38" s="1"/>
  <c r="H167" i="38"/>
  <c r="H196" i="38" s="1"/>
  <c r="H169" i="38"/>
  <c r="H198" i="38" s="1"/>
  <c r="H165" i="38"/>
  <c r="E153" i="38"/>
  <c r="E142" i="38"/>
  <c r="C180" i="38"/>
  <c r="C185" i="38" s="1"/>
  <c r="B101" i="38" s="1"/>
  <c r="C156" i="38"/>
  <c r="H142" i="38"/>
  <c r="H158" i="38"/>
  <c r="E159" i="38"/>
  <c r="E187" i="38"/>
  <c r="E188" i="38" s="1"/>
  <c r="G153" i="38"/>
  <c r="G142" i="38"/>
  <c r="F34" i="31"/>
  <c r="F35" i="31"/>
  <c r="F36" i="31"/>
  <c r="F37" i="31"/>
  <c r="F22" i="31"/>
  <c r="F23" i="31"/>
  <c r="F21" i="31"/>
  <c r="F18" i="31"/>
  <c r="I100" i="31" l="1"/>
  <c r="I118" i="31" s="1"/>
  <c r="I119" i="31" s="1"/>
  <c r="I101" i="31"/>
  <c r="D172" i="38"/>
  <c r="D190" i="38"/>
  <c r="D201" i="38" s="1"/>
  <c r="G156" i="38"/>
  <c r="G182" i="38"/>
  <c r="G185" i="38" s="1"/>
  <c r="F101" i="38" s="1"/>
  <c r="F102" i="38" s="1"/>
  <c r="E156" i="38"/>
  <c r="E182" i="38"/>
  <c r="E185" i="38" s="1"/>
  <c r="D101" i="38" s="1"/>
  <c r="D102" i="38" s="1"/>
  <c r="H194" i="38"/>
  <c r="H201" i="38" s="1"/>
  <c r="H172" i="38"/>
  <c r="H159" i="38"/>
  <c r="H187" i="38"/>
  <c r="H188" i="38" s="1"/>
  <c r="B102" i="38"/>
  <c r="D176" i="38"/>
  <c r="D185" i="38" s="1"/>
  <c r="D156" i="38"/>
  <c r="A171" i="31"/>
  <c r="A172" i="31" s="1"/>
  <c r="A173" i="31" s="1"/>
  <c r="A174" i="31" s="1"/>
  <c r="A175" i="31" s="1"/>
  <c r="A176" i="31" s="1"/>
  <c r="A177" i="31" s="1"/>
  <c r="A178" i="31" s="1"/>
  <c r="A179" i="31" s="1"/>
  <c r="A180" i="31" s="1"/>
  <c r="C101" i="38" l="1"/>
  <c r="C102" i="38" s="1"/>
  <c r="G101" i="38"/>
  <c r="G102" i="38" s="1"/>
  <c r="F24" i="35"/>
  <c r="G24" i="35"/>
  <c r="H24" i="35"/>
  <c r="I24" i="35"/>
  <c r="F25" i="35"/>
  <c r="G25" i="35"/>
  <c r="H25" i="35"/>
  <c r="I25" i="35"/>
  <c r="F26" i="35"/>
  <c r="G26" i="35"/>
  <c r="H26" i="35"/>
  <c r="I26" i="35"/>
  <c r="E24" i="35"/>
  <c r="E25" i="35"/>
  <c r="E26" i="35"/>
  <c r="D25" i="35"/>
  <c r="D26" i="35"/>
  <c r="D24" i="35"/>
  <c r="D17" i="35"/>
  <c r="E17" i="35" s="1"/>
  <c r="F17" i="35" s="1"/>
  <c r="G17" i="35" s="1"/>
  <c r="H17" i="35" s="1"/>
  <c r="I17" i="35" s="1"/>
  <c r="I102" i="38" l="1"/>
  <c r="H101" i="38"/>
  <c r="D27" i="35"/>
  <c r="D28" i="35" s="1"/>
  <c r="F27" i="35"/>
  <c r="G27" i="35"/>
  <c r="E27" i="35"/>
  <c r="E28" i="35" s="1"/>
  <c r="I27" i="35"/>
  <c r="H27" i="35"/>
  <c r="D23" i="35"/>
  <c r="G28" i="35" l="1"/>
  <c r="G31" i="23" s="1"/>
  <c r="F28" i="35"/>
  <c r="D30" i="35"/>
  <c r="D7" i="35"/>
  <c r="D6" i="35"/>
  <c r="D5" i="35"/>
  <c r="D4" i="35"/>
  <c r="D3" i="35"/>
  <c r="I28" i="35" l="1"/>
  <c r="H28" i="35"/>
  <c r="H31" i="23" s="1"/>
  <c r="E23" i="35"/>
  <c r="E31" i="35"/>
  <c r="F31" i="35"/>
  <c r="G31" i="35"/>
  <c r="I31" i="35"/>
  <c r="E30" i="35"/>
  <c r="H31" i="35"/>
  <c r="F30" i="35"/>
  <c r="G30" i="35"/>
  <c r="I30" i="35" l="1"/>
  <c r="I31" i="23"/>
  <c r="I35" i="23" s="1"/>
  <c r="H30" i="35"/>
  <c r="F23" i="35"/>
  <c r="G23" i="35" s="1"/>
  <c r="H23" i="35" l="1"/>
  <c r="I23" i="35" l="1"/>
  <c r="F13" i="31" l="1"/>
  <c r="F14" i="31"/>
  <c r="F15" i="31"/>
  <c r="F16" i="31"/>
  <c r="F17" i="31"/>
  <c r="F19" i="31"/>
  <c r="F20" i="31"/>
  <c r="F24" i="31"/>
  <c r="F25" i="31"/>
  <c r="F26" i="31"/>
  <c r="F27" i="31"/>
  <c r="F28" i="31"/>
  <c r="F29" i="31"/>
  <c r="F30" i="31"/>
  <c r="F31" i="31"/>
  <c r="F32" i="31"/>
  <c r="F33" i="31"/>
  <c r="F12" i="31"/>
  <c r="G164" i="33"/>
  <c r="F164" i="33"/>
  <c r="F160" i="33"/>
  <c r="C160" i="33"/>
  <c r="H154" i="33"/>
  <c r="G154" i="33"/>
  <c r="F154" i="33"/>
  <c r="D154" i="33"/>
  <c r="D164" i="33" s="1"/>
  <c r="C154" i="33"/>
  <c r="C164" i="33" s="1"/>
  <c r="B154" i="33"/>
  <c r="E164" i="33" s="1"/>
  <c r="H153" i="33"/>
  <c r="H163" i="33" s="1"/>
  <c r="G153" i="33"/>
  <c r="G163" i="33" s="1"/>
  <c r="F153" i="33"/>
  <c r="E153" i="33"/>
  <c r="D153" i="33"/>
  <c r="C153" i="33"/>
  <c r="C163" i="33" s="1"/>
  <c r="B153" i="33"/>
  <c r="E163" i="33" s="1"/>
  <c r="H152" i="33"/>
  <c r="G152" i="33"/>
  <c r="G162" i="33" s="1"/>
  <c r="F152" i="33"/>
  <c r="E152" i="33"/>
  <c r="D152" i="33"/>
  <c r="C152" i="33"/>
  <c r="B152" i="33"/>
  <c r="C162" i="33" s="1"/>
  <c r="H151" i="33"/>
  <c r="H161" i="33" s="1"/>
  <c r="G151" i="33"/>
  <c r="G161" i="33" s="1"/>
  <c r="F151" i="33"/>
  <c r="F161" i="33" s="1"/>
  <c r="E151" i="33"/>
  <c r="E161" i="33" s="1"/>
  <c r="D151" i="33"/>
  <c r="C151" i="33"/>
  <c r="B151" i="33"/>
  <c r="H150" i="33"/>
  <c r="H160" i="33" s="1"/>
  <c r="G150" i="33"/>
  <c r="G160" i="33" s="1"/>
  <c r="F150" i="33"/>
  <c r="E150" i="33"/>
  <c r="E160" i="33" s="1"/>
  <c r="D150" i="33"/>
  <c r="D160" i="33" s="1"/>
  <c r="C150" i="33"/>
  <c r="B150" i="33"/>
  <c r="D140" i="33"/>
  <c r="G139" i="33"/>
  <c r="G140" i="33" s="1"/>
  <c r="F139" i="33"/>
  <c r="F140" i="33" s="1"/>
  <c r="E139" i="33"/>
  <c r="E140" i="33" s="1"/>
  <c r="D139" i="33"/>
  <c r="C139" i="33"/>
  <c r="C140" i="33" s="1"/>
  <c r="B139" i="33"/>
  <c r="B140" i="33" s="1"/>
  <c r="I140" i="33" s="1"/>
  <c r="I103" i="33" s="1"/>
  <c r="D137" i="33"/>
  <c r="D138" i="33" s="1"/>
  <c r="C137" i="33"/>
  <c r="C138" i="33" s="1"/>
  <c r="B137" i="33"/>
  <c r="B138" i="33" s="1"/>
  <c r="I138" i="33" s="1"/>
  <c r="I102" i="33" s="1"/>
  <c r="G103" i="33"/>
  <c r="F103" i="33"/>
  <c r="E103" i="33"/>
  <c r="D103" i="33"/>
  <c r="C103" i="33"/>
  <c r="B103" i="33"/>
  <c r="G102" i="33"/>
  <c r="F102" i="33"/>
  <c r="E102" i="33"/>
  <c r="D102" i="33"/>
  <c r="C102" i="33"/>
  <c r="B102" i="33"/>
  <c r="G101" i="33"/>
  <c r="F101" i="33"/>
  <c r="E101" i="33"/>
  <c r="D101" i="33"/>
  <c r="C101" i="33"/>
  <c r="B101" i="33"/>
  <c r="A101" i="33"/>
  <c r="A102" i="33" s="1"/>
  <c r="A103" i="33" s="1"/>
  <c r="A104" i="33" s="1"/>
  <c r="A105" i="33" s="1"/>
  <c r="C69" i="33"/>
  <c r="C78" i="33" s="1"/>
  <c r="J65" i="33"/>
  <c r="J61" i="33"/>
  <c r="E56" i="33"/>
  <c r="E55" i="33"/>
  <c r="E54" i="33"/>
  <c r="E53" i="33"/>
  <c r="D52" i="33"/>
  <c r="E52" i="33" s="1"/>
  <c r="D48" i="33"/>
  <c r="M48" i="33" s="1"/>
  <c r="M47" i="33"/>
  <c r="M45" i="33"/>
  <c r="G44" i="33"/>
  <c r="F44" i="33"/>
  <c r="D44" i="33"/>
  <c r="J43" i="33"/>
  <c r="M43" i="33" s="1"/>
  <c r="G39" i="33"/>
  <c r="G38" i="33"/>
  <c r="G37" i="33"/>
  <c r="G36" i="33"/>
  <c r="G35" i="33"/>
  <c r="G34" i="33"/>
  <c r="E29" i="33"/>
  <c r="D7" i="33"/>
  <c r="D6" i="33"/>
  <c r="D5" i="33"/>
  <c r="D4" i="33"/>
  <c r="D3" i="33"/>
  <c r="A190" i="31"/>
  <c r="K73" i="31"/>
  <c r="K69" i="31"/>
  <c r="F64" i="31"/>
  <c r="F63" i="31"/>
  <c r="F62" i="31"/>
  <c r="F61" i="31"/>
  <c r="E60" i="31"/>
  <c r="F60" i="31" s="1"/>
  <c r="E56" i="31"/>
  <c r="N56" i="31" s="1"/>
  <c r="N55" i="31"/>
  <c r="N53" i="31"/>
  <c r="H47" i="31"/>
  <c r="H46" i="31"/>
  <c r="H45" i="31"/>
  <c r="H44" i="31"/>
  <c r="H43" i="31"/>
  <c r="H42" i="31"/>
  <c r="F162" i="33" l="1"/>
  <c r="M44" i="33"/>
  <c r="H162" i="33"/>
  <c r="C161" i="33"/>
  <c r="D162" i="33"/>
  <c r="D161" i="33"/>
  <c r="D166" i="33" s="1"/>
  <c r="E162" i="33"/>
  <c r="F163" i="33"/>
  <c r="H164" i="33"/>
  <c r="H166" i="33" s="1"/>
  <c r="H172" i="33" s="1"/>
  <c r="H174" i="33" s="1"/>
  <c r="H183" i="33" s="1"/>
  <c r="H197" i="33" s="1"/>
  <c r="H198" i="33" s="1"/>
  <c r="N51" i="31"/>
  <c r="N52" i="31"/>
  <c r="C166" i="33"/>
  <c r="C171" i="33" s="1"/>
  <c r="C174" i="33" s="1"/>
  <c r="C87" i="33"/>
  <c r="A137" i="33"/>
  <c r="A139" i="33" s="1"/>
  <c r="E166" i="33"/>
  <c r="F166" i="33"/>
  <c r="F172" i="33" s="1"/>
  <c r="F174" i="33" s="1"/>
  <c r="F183" i="33" s="1"/>
  <c r="F197" i="33" s="1"/>
  <c r="F198" i="33" s="1"/>
  <c r="G166" i="33"/>
  <c r="H139" i="33"/>
  <c r="H103" i="33" s="1"/>
  <c r="C145" i="33"/>
  <c r="D163" i="33"/>
  <c r="H137" i="33"/>
  <c r="H102" i="33" s="1"/>
  <c r="A135" i="33"/>
  <c r="E101" i="31" l="1"/>
  <c r="E121" i="31" s="1"/>
  <c r="D99" i="31"/>
  <c r="G100" i="31"/>
  <c r="F99" i="31"/>
  <c r="F113" i="31" s="1"/>
  <c r="F116" i="31" s="1"/>
  <c r="H100" i="31"/>
  <c r="H118" i="31" s="1"/>
  <c r="H119" i="31" s="1"/>
  <c r="G172" i="33"/>
  <c r="G171" i="33"/>
  <c r="E135" i="33"/>
  <c r="E136" i="33" s="1"/>
  <c r="E137" i="33"/>
  <c r="E138" i="33" s="1"/>
  <c r="G135" i="33"/>
  <c r="G136" i="33" s="1"/>
  <c r="G137" i="33"/>
  <c r="G138" i="33" s="1"/>
  <c r="E172" i="33"/>
  <c r="E171" i="33"/>
  <c r="C179" i="33"/>
  <c r="C192" i="33" s="1"/>
  <c r="C181" i="33"/>
  <c r="C194" i="33" s="1"/>
  <c r="D171" i="33"/>
  <c r="D173" i="33"/>
  <c r="C195" i="33" l="1"/>
  <c r="B135" i="33" s="1"/>
  <c r="B136" i="33" s="1"/>
  <c r="E174" i="33"/>
  <c r="D174" i="33"/>
  <c r="D179" i="33" s="1"/>
  <c r="D192" i="33" s="1"/>
  <c r="D195" i="33" s="1"/>
  <c r="C135" i="33" s="1"/>
  <c r="C136" i="33" s="1"/>
  <c r="G102" i="31"/>
  <c r="G118" i="31"/>
  <c r="G119" i="31" s="1"/>
  <c r="D102" i="31"/>
  <c r="D115" i="31"/>
  <c r="D144" i="31" s="1"/>
  <c r="D111" i="31"/>
  <c r="D140" i="31" s="1"/>
  <c r="D113" i="31"/>
  <c r="D142" i="31" s="1"/>
  <c r="E150" i="31"/>
  <c r="F100" i="31"/>
  <c r="E123" i="31"/>
  <c r="E152" i="31" s="1"/>
  <c r="E99" i="31"/>
  <c r="H99" i="31"/>
  <c r="D187" i="33"/>
  <c r="D202" i="33" s="1"/>
  <c r="D185" i="33"/>
  <c r="D200" i="33" s="1"/>
  <c r="D203" i="33" s="1"/>
  <c r="D181" i="33"/>
  <c r="D194" i="33" s="1"/>
  <c r="E183" i="33"/>
  <c r="E197" i="33" s="1"/>
  <c r="E198" i="33" s="1"/>
  <c r="E179" i="33"/>
  <c r="E192" i="33" s="1"/>
  <c r="E195" i="33" s="1"/>
  <c r="D135" i="33" s="1"/>
  <c r="D136" i="33" s="1"/>
  <c r="G174" i="33"/>
  <c r="E161" i="31" l="1"/>
  <c r="E132" i="31"/>
  <c r="E102" i="31"/>
  <c r="E113" i="31"/>
  <c r="E142" i="31" s="1"/>
  <c r="E111" i="31"/>
  <c r="E140" i="31" s="1"/>
  <c r="E109" i="31"/>
  <c r="E138" i="31" s="1"/>
  <c r="E107" i="31"/>
  <c r="E136" i="31" s="1"/>
  <c r="E115" i="31"/>
  <c r="E144" i="31" s="1"/>
  <c r="H102" i="31"/>
  <c r="H147" i="31" s="1"/>
  <c r="H148" i="31" s="1"/>
  <c r="H113" i="31"/>
  <c r="H116" i="31" s="1"/>
  <c r="D116" i="31"/>
  <c r="G147" i="31"/>
  <c r="G148" i="31" s="1"/>
  <c r="E190" i="31" s="1"/>
  <c r="F102" i="31"/>
  <c r="F118" i="31"/>
  <c r="F119" i="31" s="1"/>
  <c r="I102" i="31"/>
  <c r="I147" i="31" s="1"/>
  <c r="I148" i="31" s="1"/>
  <c r="I127" i="31"/>
  <c r="I156" i="31" s="1"/>
  <c r="I125" i="31"/>
  <c r="I131" i="31"/>
  <c r="I160" i="31" s="1"/>
  <c r="I129" i="31"/>
  <c r="I158" i="31" s="1"/>
  <c r="D145" i="31"/>
  <c r="B190" i="31" s="1"/>
  <c r="B54" i="24" s="1"/>
  <c r="G183" i="33"/>
  <c r="G197" i="33" s="1"/>
  <c r="G179" i="33"/>
  <c r="G192" i="33" s="1"/>
  <c r="F142" i="31"/>
  <c r="F145" i="31" s="1"/>
  <c r="H142" i="31" l="1"/>
  <c r="H145" i="31" s="1"/>
  <c r="F190" i="31" s="1"/>
  <c r="F54" i="24" s="1"/>
  <c r="E116" i="31"/>
  <c r="I154" i="31"/>
  <c r="I161" i="31" s="1"/>
  <c r="G190" i="31" s="1"/>
  <c r="I132" i="31"/>
  <c r="E54" i="24"/>
  <c r="E191" i="31"/>
  <c r="E55" i="24" s="1"/>
  <c r="F147" i="31"/>
  <c r="F148" i="31" s="1"/>
  <c r="D190" i="31" s="1"/>
  <c r="D54" i="24" s="1"/>
  <c r="E145" i="31"/>
  <c r="C190" i="31" s="1"/>
  <c r="C54" i="24" s="1"/>
  <c r="B191" i="31"/>
  <c r="B55" i="24" s="1"/>
  <c r="G195" i="33"/>
  <c r="G198" i="33"/>
  <c r="F137" i="33" s="1"/>
  <c r="F138" i="33" s="1"/>
  <c r="G54" i="24" l="1"/>
  <c r="H54" i="24" s="1"/>
  <c r="G191" i="31"/>
  <c r="G55" i="24" s="1"/>
  <c r="C191" i="31"/>
  <c r="C55" i="24" s="1"/>
  <c r="F191" i="31"/>
  <c r="F55" i="24" s="1"/>
  <c r="F135" i="33"/>
  <c r="D191" i="31"/>
  <c r="D55" i="24" s="1"/>
  <c r="H190" i="31"/>
  <c r="I191" i="31" l="1"/>
  <c r="I55" i="24"/>
  <c r="D32" i="23" s="1"/>
  <c r="F136" i="33"/>
  <c r="I136" i="33" s="1"/>
  <c r="I101" i="33" s="1"/>
  <c r="H135" i="33"/>
  <c r="H101" i="33" s="1"/>
  <c r="E32" i="23" l="1"/>
  <c r="A44" i="24" l="1"/>
  <c r="I25" i="25"/>
  <c r="I24" i="25"/>
  <c r="H24" i="25"/>
  <c r="G24" i="25"/>
  <c r="F24" i="25"/>
  <c r="E24" i="25"/>
  <c r="D24" i="25"/>
  <c r="C24" i="25"/>
  <c r="B24" i="25"/>
  <c r="I23" i="25"/>
  <c r="H23" i="25"/>
  <c r="G23" i="25"/>
  <c r="F23" i="25"/>
  <c r="E23" i="25"/>
  <c r="D23" i="25"/>
  <c r="C23" i="25"/>
  <c r="B23" i="25"/>
  <c r="A23" i="25"/>
  <c r="A24" i="25" s="1"/>
  <c r="A25" i="25" s="1"/>
  <c r="I22" i="25"/>
  <c r="H22" i="25"/>
  <c r="G22" i="25"/>
  <c r="F22" i="25"/>
  <c r="E22" i="25"/>
  <c r="D22" i="25"/>
  <c r="C22" i="25"/>
  <c r="B22" i="25"/>
  <c r="D7" i="25"/>
  <c r="D6" i="25"/>
  <c r="D5" i="25"/>
  <c r="D4" i="25"/>
  <c r="D3" i="25"/>
  <c r="G35" i="23"/>
  <c r="H35" i="23"/>
  <c r="F19" i="2"/>
  <c r="F27" i="2" s="1"/>
  <c r="F28" i="2" s="1"/>
  <c r="E19" i="2"/>
  <c r="E27" i="2" s="1"/>
  <c r="E28" i="2" s="1"/>
  <c r="D30" i="10"/>
  <c r="G27" i="2"/>
  <c r="G28" i="2" s="1"/>
  <c r="H27" i="2"/>
  <c r="H28" i="2" s="1"/>
  <c r="H25" i="23" s="1"/>
  <c r="D19" i="2"/>
  <c r="D16" i="2"/>
  <c r="G29" i="23"/>
  <c r="H29" i="23"/>
  <c r="D27" i="9"/>
  <c r="D28" i="9" s="1"/>
  <c r="E27" i="9"/>
  <c r="F27" i="9"/>
  <c r="G27" i="9"/>
  <c r="G32" i="9" s="1"/>
  <c r="H27" i="9"/>
  <c r="D5" i="24"/>
  <c r="D4" i="24"/>
  <c r="D5" i="13"/>
  <c r="D4" i="13"/>
  <c r="D3" i="13"/>
  <c r="D4" i="10"/>
  <c r="D5" i="10"/>
  <c r="D3" i="10"/>
  <c r="D5" i="9"/>
  <c r="D4" i="9"/>
  <c r="D3" i="9"/>
  <c r="D5" i="8"/>
  <c r="D4" i="8"/>
  <c r="D3" i="8"/>
  <c r="D3" i="2"/>
  <c r="D5" i="2"/>
  <c r="D4" i="2"/>
  <c r="D7" i="13"/>
  <c r="D7" i="24"/>
  <c r="D6" i="24"/>
  <c r="D6" i="13"/>
  <c r="D7" i="10"/>
  <c r="D6" i="10"/>
  <c r="D7" i="9"/>
  <c r="D6" i="9"/>
  <c r="D7" i="8"/>
  <c r="D6" i="8"/>
  <c r="D7" i="2"/>
  <c r="D6" i="2"/>
  <c r="D15" i="9"/>
  <c r="E15" i="9" s="1"/>
  <c r="F15" i="9" s="1"/>
  <c r="G15" i="9" s="1"/>
  <c r="H15" i="9" s="1"/>
  <c r="I15" i="9" s="1"/>
  <c r="J15" i="9" s="1"/>
  <c r="K15" i="9" s="1"/>
  <c r="L15" i="9" s="1"/>
  <c r="M15" i="9" s="1"/>
  <c r="N15" i="9" s="1"/>
  <c r="O15" i="9" s="1"/>
  <c r="P15" i="9" s="1"/>
  <c r="Q15" i="9" s="1"/>
  <c r="C32" i="23"/>
  <c r="B22" i="13"/>
  <c r="B23" i="13" s="1"/>
  <c r="B24" i="13" s="1"/>
  <c r="B25" i="13" s="1"/>
  <c r="B26" i="13" s="1"/>
  <c r="B27" i="13" s="1"/>
  <c r="B28" i="13" s="1"/>
  <c r="B29" i="13" s="1"/>
  <c r="B30" i="13" s="1"/>
  <c r="B31" i="13" s="1"/>
  <c r="B32" i="13" s="1"/>
  <c r="B33" i="13" s="1"/>
  <c r="B34" i="13" s="1"/>
  <c r="E15" i="10"/>
  <c r="F15" i="10" s="1"/>
  <c r="G15" i="10" s="1"/>
  <c r="H15" i="10" s="1"/>
  <c r="I15" i="10" s="1"/>
  <c r="J15" i="10" s="1"/>
  <c r="K15" i="10" s="1"/>
  <c r="L15" i="10" s="1"/>
  <c r="M15" i="10" s="1"/>
  <c r="N15" i="10" s="1"/>
  <c r="O15" i="10" s="1"/>
  <c r="P15" i="10" s="1"/>
  <c r="Q15" i="10" s="1"/>
  <c r="R15" i="10" s="1"/>
  <c r="D15" i="8"/>
  <c r="E15" i="8" s="1"/>
  <c r="F15" i="8" s="1"/>
  <c r="G15" i="8" s="1"/>
  <c r="H15" i="8" s="1"/>
  <c r="I15" i="8" s="1"/>
  <c r="J15" i="8" s="1"/>
  <c r="K15" i="8" s="1"/>
  <c r="L15" i="8" s="1"/>
  <c r="M15" i="8" s="1"/>
  <c r="N15" i="8" s="1"/>
  <c r="O15" i="8" s="1"/>
  <c r="P15" i="8" s="1"/>
  <c r="Q15" i="8" s="1"/>
  <c r="B29" i="23"/>
  <c r="B28" i="23"/>
  <c r="B26" i="23"/>
  <c r="B25" i="23"/>
  <c r="D15" i="2"/>
  <c r="E15" i="2" s="1"/>
  <c r="F15" i="2" s="1"/>
  <c r="G15" i="2" s="1"/>
  <c r="H15" i="2" s="1"/>
  <c r="I15" i="2" s="1"/>
  <c r="J15" i="2" s="1"/>
  <c r="K15" i="2" s="1"/>
  <c r="L15" i="2" s="1"/>
  <c r="M15" i="2" s="1"/>
  <c r="N15" i="2" s="1"/>
  <c r="O15" i="2" s="1"/>
  <c r="P15" i="2" s="1"/>
  <c r="Q15" i="2" s="1"/>
  <c r="D36" i="23"/>
  <c r="G30" i="2"/>
  <c r="E24" i="23"/>
  <c r="F24" i="23" s="1"/>
  <c r="G24" i="23" s="1"/>
  <c r="H24" i="23" s="1"/>
  <c r="I24" i="23" s="1"/>
  <c r="F20" i="23"/>
  <c r="F19" i="23"/>
  <c r="I27" i="9"/>
  <c r="I30" i="9" s="1"/>
  <c r="J27" i="9"/>
  <c r="J32" i="9" s="1"/>
  <c r="K27" i="9"/>
  <c r="L27" i="9"/>
  <c r="L32" i="9" s="1"/>
  <c r="M27" i="9"/>
  <c r="M30" i="9" s="1"/>
  <c r="N27" i="9"/>
  <c r="N30" i="9" s="1"/>
  <c r="O27" i="9"/>
  <c r="O30" i="9" s="1"/>
  <c r="P27" i="9"/>
  <c r="P32" i="9" s="1"/>
  <c r="Q27" i="9"/>
  <c r="Q30" i="9" s="1"/>
  <c r="H30" i="9"/>
  <c r="H32" i="9"/>
  <c r="K32" i="9"/>
  <c r="K30" i="9"/>
  <c r="J30" i="9"/>
  <c r="F27" i="8"/>
  <c r="F28" i="8" s="1"/>
  <c r="G27" i="8"/>
  <c r="G28" i="8" s="1"/>
  <c r="H27" i="8"/>
  <c r="H28" i="8" s="1"/>
  <c r="I27" i="8"/>
  <c r="I28" i="8" s="1"/>
  <c r="J27" i="8"/>
  <c r="J28" i="8" s="1"/>
  <c r="J29" i="8" s="1"/>
  <c r="K27" i="8"/>
  <c r="K30" i="8" s="1"/>
  <c r="L27" i="8"/>
  <c r="M27" i="8"/>
  <c r="M30" i="8" s="1"/>
  <c r="N27" i="8"/>
  <c r="N30" i="8" s="1"/>
  <c r="O27" i="8"/>
  <c r="O30" i="8" s="1"/>
  <c r="P27" i="8"/>
  <c r="P28" i="8" s="1"/>
  <c r="P29" i="8" s="1"/>
  <c r="Q27" i="8"/>
  <c r="Q28" i="8" s="1"/>
  <c r="Q29" i="8" s="1"/>
  <c r="E27" i="8"/>
  <c r="E28" i="8" s="1"/>
  <c r="D27" i="8"/>
  <c r="D28" i="8" s="1"/>
  <c r="L30" i="8"/>
  <c r="I29" i="22"/>
  <c r="Q29" i="22"/>
  <c r="P29" i="22"/>
  <c r="O29" i="22"/>
  <c r="N29" i="22"/>
  <c r="M29" i="22"/>
  <c r="L29" i="22"/>
  <c r="K29" i="22"/>
  <c r="J29" i="22"/>
  <c r="H29" i="22"/>
  <c r="G29" i="22"/>
  <c r="F29" i="22"/>
  <c r="E29" i="22"/>
  <c r="B28" i="22"/>
  <c r="B27" i="22"/>
  <c r="B26" i="22"/>
  <c r="B25" i="22"/>
  <c r="B24" i="22"/>
  <c r="B23" i="22"/>
  <c r="E21" i="22"/>
  <c r="F21" i="22"/>
  <c r="G21" i="22" s="1"/>
  <c r="H21" i="22" s="1"/>
  <c r="I21" i="22" s="1"/>
  <c r="J21" i="22" s="1"/>
  <c r="K21" i="22" s="1"/>
  <c r="L21" i="22" s="1"/>
  <c r="M21" i="22" s="1"/>
  <c r="N21" i="22" s="1"/>
  <c r="O21" i="22" s="1"/>
  <c r="P21" i="22" s="1"/>
  <c r="Q21" i="22" s="1"/>
  <c r="M16" i="22" s="1"/>
  <c r="M15" i="22"/>
  <c r="E29" i="20"/>
  <c r="M15" i="20"/>
  <c r="B28" i="20"/>
  <c r="B27" i="20"/>
  <c r="B26" i="20"/>
  <c r="B25" i="20"/>
  <c r="B24" i="20"/>
  <c r="B23" i="20"/>
  <c r="E21" i="20"/>
  <c r="F21" i="20" s="1"/>
  <c r="G21" i="20" s="1"/>
  <c r="H21" i="20" s="1"/>
  <c r="I21" i="20" s="1"/>
  <c r="J21" i="20" s="1"/>
  <c r="K21" i="20" s="1"/>
  <c r="L21" i="20" s="1"/>
  <c r="M21" i="20" s="1"/>
  <c r="N21" i="20" s="1"/>
  <c r="O21" i="20" s="1"/>
  <c r="P21" i="20" s="1"/>
  <c r="Q21" i="20" s="1"/>
  <c r="M16" i="20" s="1"/>
  <c r="M17" i="20" s="1"/>
  <c r="H27" i="17"/>
  <c r="I27" i="17"/>
  <c r="J27" i="17"/>
  <c r="K27" i="17"/>
  <c r="M27" i="17"/>
  <c r="N27" i="17"/>
  <c r="O27" i="17"/>
  <c r="P27" i="17"/>
  <c r="Q27" i="17"/>
  <c r="E20" i="17"/>
  <c r="F20" i="17"/>
  <c r="G20" i="17" s="1"/>
  <c r="H20" i="17" s="1"/>
  <c r="I20" i="17" s="1"/>
  <c r="J20" i="17" s="1"/>
  <c r="K20" i="17" s="1"/>
  <c r="L20" i="17" s="1"/>
  <c r="M20" i="17" s="1"/>
  <c r="N20" i="17" s="1"/>
  <c r="O20" i="17" s="1"/>
  <c r="P20" i="17" s="1"/>
  <c r="Q20" i="17" s="1"/>
  <c r="G22" i="13"/>
  <c r="J28" i="9"/>
  <c r="K28" i="9"/>
  <c r="Q28" i="9"/>
  <c r="F30" i="9"/>
  <c r="F28" i="9"/>
  <c r="G28" i="9"/>
  <c r="G28" i="23" s="1"/>
  <c r="H28" i="9"/>
  <c r="H28" i="23" s="1"/>
  <c r="I28" i="9"/>
  <c r="I28" i="23" s="1"/>
  <c r="E30" i="9"/>
  <c r="B26" i="17"/>
  <c r="B29" i="17"/>
  <c r="B25" i="17"/>
  <c r="B24" i="17"/>
  <c r="B23" i="17"/>
  <c r="B22" i="17"/>
  <c r="K28" i="8"/>
  <c r="K29" i="8" s="1"/>
  <c r="N28" i="8"/>
  <c r="N29" i="8" s="1"/>
  <c r="L28" i="8"/>
  <c r="L29" i="8" s="1"/>
  <c r="M28" i="8"/>
  <c r="M29" i="8" s="1"/>
  <c r="J27" i="2"/>
  <c r="J30" i="2" s="1"/>
  <c r="K27" i="2"/>
  <c r="K30" i="2" s="1"/>
  <c r="L27" i="2"/>
  <c r="L28" i="2" s="1"/>
  <c r="M27" i="2"/>
  <c r="M28" i="2" s="1"/>
  <c r="N27" i="2"/>
  <c r="N28" i="2" s="1"/>
  <c r="O27" i="2"/>
  <c r="O30" i="2" s="1"/>
  <c r="P27" i="2"/>
  <c r="P28" i="2" s="1"/>
  <c r="Q27" i="2"/>
  <c r="Q28" i="2" s="1"/>
  <c r="I27" i="2"/>
  <c r="I30" i="2" s="1"/>
  <c r="F24" i="17"/>
  <c r="L27" i="17"/>
  <c r="F29" i="20"/>
  <c r="G29" i="20"/>
  <c r="H29" i="20"/>
  <c r="G23" i="13"/>
  <c r="G45" i="23"/>
  <c r="H45" i="23"/>
  <c r="G21" i="13"/>
  <c r="D45" i="23" s="1"/>
  <c r="D30" i="9"/>
  <c r="H30" i="2"/>
  <c r="F32" i="9"/>
  <c r="I29" i="20"/>
  <c r="J29" i="20"/>
  <c r="K29" i="20"/>
  <c r="L29" i="20"/>
  <c r="M29" i="20"/>
  <c r="N29" i="20"/>
  <c r="O29" i="20"/>
  <c r="Q29" i="20"/>
  <c r="P29" i="20"/>
  <c r="E45" i="23" l="1"/>
  <c r="E46" i="23" s="1"/>
  <c r="E47" i="23" s="1"/>
  <c r="E48" i="23" s="1"/>
  <c r="H22" i="13"/>
  <c r="I22" i="13" s="1"/>
  <c r="F45" i="23"/>
  <c r="F46" i="23" s="1"/>
  <c r="F47" i="23" s="1"/>
  <c r="F48" i="23" s="1"/>
  <c r="H23" i="13"/>
  <c r="I23" i="13" s="1"/>
  <c r="E30" i="10"/>
  <c r="D16" i="10"/>
  <c r="E32" i="9"/>
  <c r="N28" i="9"/>
  <c r="G24" i="17"/>
  <c r="O28" i="9"/>
  <c r="E28" i="9"/>
  <c r="L30" i="9"/>
  <c r="P28" i="9"/>
  <c r="M28" i="9"/>
  <c r="N32" i="9"/>
  <c r="L28" i="9"/>
  <c r="P30" i="9"/>
  <c r="F29" i="8"/>
  <c r="G26" i="23"/>
  <c r="G29" i="8"/>
  <c r="I26" i="23"/>
  <c r="I29" i="8"/>
  <c r="H26" i="23"/>
  <c r="H34" i="23" s="1"/>
  <c r="H29" i="8"/>
  <c r="E29" i="8"/>
  <c r="O28" i="8"/>
  <c r="O29" i="8" s="1"/>
  <c r="Q30" i="8"/>
  <c r="I30" i="8"/>
  <c r="E23" i="17"/>
  <c r="J30" i="8"/>
  <c r="K28" i="2"/>
  <c r="D24" i="17"/>
  <c r="D25" i="22"/>
  <c r="D29" i="22" s="1"/>
  <c r="D22" i="22" s="1"/>
  <c r="J22" i="22" s="1"/>
  <c r="D25" i="20"/>
  <c r="D29" i="20" s="1"/>
  <c r="D22" i="20" s="1"/>
  <c r="L22" i="20" s="1"/>
  <c r="K18" i="20"/>
  <c r="O18" i="20"/>
  <c r="Q18" i="20"/>
  <c r="J18" i="20"/>
  <c r="F18" i="20"/>
  <c r="L18" i="20"/>
  <c r="H18" i="20"/>
  <c r="N18" i="20"/>
  <c r="P18" i="20"/>
  <c r="E18" i="20"/>
  <c r="M18" i="20"/>
  <c r="G18" i="20"/>
  <c r="I18" i="20"/>
  <c r="M17" i="22"/>
  <c r="M32" i="9"/>
  <c r="D28" i="10"/>
  <c r="M30" i="2"/>
  <c r="G30" i="9"/>
  <c r="O32" i="9"/>
  <c r="G23" i="17"/>
  <c r="H30" i="8"/>
  <c r="F21" i="23"/>
  <c r="F36" i="23" s="1"/>
  <c r="I28" i="2"/>
  <c r="I25" i="23" s="1"/>
  <c r="J28" i="2"/>
  <c r="Q32" i="9"/>
  <c r="I32" i="9"/>
  <c r="P30" i="2"/>
  <c r="N30" i="2"/>
  <c r="O28" i="2"/>
  <c r="D27" i="2"/>
  <c r="D28" i="2" s="1"/>
  <c r="F30" i="8"/>
  <c r="E30" i="8"/>
  <c r="D23" i="17"/>
  <c r="G30" i="8"/>
  <c r="F23" i="17"/>
  <c r="P30" i="8"/>
  <c r="F25" i="23"/>
  <c r="F22" i="17"/>
  <c r="G22" i="17"/>
  <c r="G25" i="23"/>
  <c r="E25" i="23"/>
  <c r="E22" i="17"/>
  <c r="Q30" i="2"/>
  <c r="L30" i="2"/>
  <c r="E36" i="23"/>
  <c r="A45" i="24"/>
  <c r="A54" i="24"/>
  <c r="G34" i="23" l="1"/>
  <c r="F28" i="10"/>
  <c r="F29" i="10" s="1"/>
  <c r="F31" i="10" s="1"/>
  <c r="G28" i="10"/>
  <c r="D29" i="10"/>
  <c r="H29" i="10"/>
  <c r="E28" i="10"/>
  <c r="E29" i="10" s="1"/>
  <c r="L29" i="10"/>
  <c r="K29" i="10"/>
  <c r="Q29" i="10"/>
  <c r="I29" i="10"/>
  <c r="J29" i="10"/>
  <c r="O29" i="10"/>
  <c r="R29" i="10"/>
  <c r="P29" i="10"/>
  <c r="D31" i="10"/>
  <c r="G29" i="10"/>
  <c r="G32" i="10" s="1"/>
  <c r="N29" i="10"/>
  <c r="M29" i="10"/>
  <c r="M22" i="20"/>
  <c r="L22" i="22"/>
  <c r="N22" i="20"/>
  <c r="H22" i="20"/>
  <c r="I22" i="20"/>
  <c r="G22" i="20"/>
  <c r="Q22" i="20"/>
  <c r="O22" i="20"/>
  <c r="M22" i="22"/>
  <c r="P22" i="20"/>
  <c r="E22" i="20"/>
  <c r="F22" i="20"/>
  <c r="J22" i="20"/>
  <c r="K22" i="20"/>
  <c r="H22" i="22"/>
  <c r="K22" i="22"/>
  <c r="E34" i="23"/>
  <c r="E24" i="17"/>
  <c r="E27" i="17" s="1"/>
  <c r="H33" i="23"/>
  <c r="G27" i="17"/>
  <c r="Q22" i="22"/>
  <c r="G36" i="23"/>
  <c r="F22" i="22"/>
  <c r="N22" i="22"/>
  <c r="I33" i="23"/>
  <c r="I34" i="23"/>
  <c r="O22" i="22"/>
  <c r="P22" i="22"/>
  <c r="H36" i="23"/>
  <c r="I22" i="22"/>
  <c r="G22" i="22"/>
  <c r="I36" i="23"/>
  <c r="E22" i="22"/>
  <c r="O18" i="22"/>
  <c r="F18" i="22"/>
  <c r="K18" i="22"/>
  <c r="P18" i="22"/>
  <c r="L18" i="22"/>
  <c r="Q18" i="22"/>
  <c r="H18" i="22"/>
  <c r="M18" i="22"/>
  <c r="G18" i="22"/>
  <c r="I18" i="22"/>
  <c r="N18" i="22"/>
  <c r="E18" i="22"/>
  <c r="J18" i="22"/>
  <c r="F34" i="23"/>
  <c r="F30" i="2"/>
  <c r="E30" i="2"/>
  <c r="G33" i="23"/>
  <c r="F27" i="17"/>
  <c r="D25" i="23"/>
  <c r="D34" i="23" s="1"/>
  <c r="D22" i="17"/>
  <c r="D27" i="17" s="1"/>
  <c r="R33" i="10"/>
  <c r="P33" i="10"/>
  <c r="K33" i="10"/>
  <c r="L33" i="10"/>
  <c r="H33" i="10"/>
  <c r="I33" i="10"/>
  <c r="O33" i="10"/>
  <c r="E33" i="10"/>
  <c r="Q33" i="10"/>
  <c r="F33" i="10"/>
  <c r="A46" i="24"/>
  <c r="A56" i="24"/>
  <c r="F35" i="23"/>
  <c r="E35" i="23"/>
  <c r="G31" i="10" l="1"/>
  <c r="E31" i="10"/>
  <c r="F32" i="10"/>
  <c r="M31" i="10"/>
  <c r="M32" i="10"/>
  <c r="I31" i="10"/>
  <c r="I32" i="10"/>
  <c r="J31" i="10"/>
  <c r="J32" i="10"/>
  <c r="K31" i="10"/>
  <c r="K32" i="10"/>
  <c r="L31" i="10"/>
  <c r="L32" i="10"/>
  <c r="N31" i="10"/>
  <c r="N32" i="10"/>
  <c r="Q31" i="10"/>
  <c r="Q32" i="10"/>
  <c r="P31" i="10"/>
  <c r="P32" i="10"/>
  <c r="R31" i="10"/>
  <c r="R32" i="10"/>
  <c r="H31" i="10"/>
  <c r="H32" i="10"/>
  <c r="O31" i="10"/>
  <c r="O32" i="10"/>
  <c r="M33" i="10"/>
  <c r="G33" i="10"/>
  <c r="J33" i="10"/>
  <c r="N33" i="10"/>
  <c r="E33" i="23"/>
  <c r="F33" i="23"/>
  <c r="E28" i="17"/>
  <c r="F28" i="17"/>
  <c r="D21" i="17"/>
  <c r="E21" i="17" s="1"/>
  <c r="F21" i="17" s="1"/>
  <c r="G21" i="17" s="1"/>
  <c r="H21" i="17" s="1"/>
  <c r="I21" i="17" s="1"/>
  <c r="J21" i="17" s="1"/>
  <c r="K21" i="17" s="1"/>
  <c r="L21" i="17" s="1"/>
  <c r="M21" i="17" s="1"/>
  <c r="N21" i="17" s="1"/>
  <c r="O21" i="17" s="1"/>
  <c r="P21" i="17" s="1"/>
  <c r="Q21" i="17" s="1"/>
  <c r="A58" i="24"/>
  <c r="D35" i="23" l="1"/>
  <c r="D33" i="23"/>
  <c r="I39" i="23" s="1"/>
  <c r="I40" i="23" s="1"/>
  <c r="I41" i="23" s="1"/>
  <c r="I42" i="23" s="1"/>
  <c r="G39" i="23" l="1"/>
  <c r="G40" i="23" s="1"/>
  <c r="G41" i="23" s="1"/>
  <c r="G42" i="23" s="1"/>
  <c r="E39" i="23"/>
  <c r="E40" i="23" s="1"/>
  <c r="E41" i="23" s="1"/>
  <c r="E42" i="23" s="1"/>
  <c r="H39" i="23"/>
  <c r="H40" i="23" s="1"/>
  <c r="H41" i="23" s="1"/>
  <c r="H42" i="23" s="1"/>
  <c r="F39" i="23"/>
  <c r="F40" i="23" s="1"/>
  <c r="F41" i="23" s="1"/>
  <c r="F42" i="23" s="1"/>
  <c r="D39"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16" authorId="0" shapeId="0" xr:uid="{273F8E2E-78C3-4015-A397-C7D234109EF2}">
      <text>
        <r>
          <rPr>
            <b/>
            <sz val="9"/>
            <color indexed="81"/>
            <rFont val="Tahoma"/>
            <family val="2"/>
          </rPr>
          <t xml:space="preserve">Estimate Baseline:
</t>
        </r>
        <r>
          <rPr>
            <sz val="9"/>
            <color indexed="81"/>
            <rFont val="Tahoma"/>
            <family val="2"/>
          </rPr>
          <t xml:space="preserve">Average kg/capita/day:
- Klang Valley / City Centre - 1.35 kg/capita/day
- Rest of Malaysia - 1.17 kg/capita/day
Formula:
(Average kg/capita/day </t>
        </r>
        <r>
          <rPr>
            <b/>
            <sz val="9"/>
            <color indexed="81"/>
            <rFont val="Tahoma"/>
            <family val="2"/>
          </rPr>
          <t>X</t>
        </r>
        <r>
          <rPr>
            <sz val="9"/>
            <color indexed="81"/>
            <rFont val="Tahoma"/>
            <family val="2"/>
          </rPr>
          <t xml:space="preserve"> occupancy </t>
        </r>
        <r>
          <rPr>
            <b/>
            <sz val="9"/>
            <color indexed="81"/>
            <rFont val="Tahoma"/>
            <family val="2"/>
          </rPr>
          <t>X</t>
        </r>
        <r>
          <rPr>
            <sz val="9"/>
            <color indexed="81"/>
            <rFont val="Tahoma"/>
            <family val="2"/>
          </rPr>
          <t xml:space="preserve"> 365 )</t>
        </r>
        <r>
          <rPr>
            <b/>
            <sz val="9"/>
            <color indexed="81"/>
            <rFont val="Tahoma"/>
            <family val="2"/>
          </rPr>
          <t xml:space="preserve"> /</t>
        </r>
        <r>
          <rPr>
            <sz val="9"/>
            <color indexed="81"/>
            <rFont val="Tahoma"/>
            <family val="2"/>
          </rPr>
          <t>1000</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41" authorId="0" shapeId="0" xr:uid="{B397539D-2169-4AD8-A140-7F77FA41ED53}">
      <text>
        <r>
          <rPr>
            <sz val="9"/>
            <color indexed="81"/>
            <rFont val="Tahoma"/>
            <family val="2"/>
          </rPr>
          <t xml:space="preserve">Total Cumulative Percentage should be 100 to account for all vehicle type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12" authorId="0" shapeId="0" xr:uid="{CD691646-47D8-4C4D-9992-272F44CFA85B}">
      <text>
        <r>
          <rPr>
            <sz val="9"/>
            <color indexed="81"/>
            <rFont val="Tahoma"/>
            <family val="2"/>
          </rPr>
          <t>Average sequestration potential from:
- urban forest (6,090)
- shrubs
- urban gardens
- grass (550)
- other small pants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33" authorId="0" shapeId="0" xr:uid="{8884A332-E436-442B-B68B-F82F4C2FE92B}">
      <text>
        <r>
          <rPr>
            <sz val="9"/>
            <color indexed="81"/>
            <rFont val="Tahoma"/>
            <family val="2"/>
          </rPr>
          <t xml:space="preserve">Total Cumulative Percentage should be 100 to account for all vehicle type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41" authorId="0" shapeId="0" xr:uid="{19FF88DE-01A6-4F4A-9FDD-BE63220A80B9}">
      <text>
        <r>
          <rPr>
            <sz val="9"/>
            <color indexed="81"/>
            <rFont val="Tahoma"/>
            <family val="2"/>
          </rPr>
          <t xml:space="preserve">Total Cumulative Percentage should be 100 to account for all vehicle type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41" authorId="0" shapeId="0" xr:uid="{E1396229-8D27-4111-96A0-CE6C0C188484}">
      <text>
        <r>
          <rPr>
            <sz val="9"/>
            <color indexed="81"/>
            <rFont val="Tahoma"/>
            <family val="2"/>
          </rPr>
          <t xml:space="preserve">Total Cumulative Percentage should be 100 to account for all vehicle type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41" authorId="0" shapeId="0" xr:uid="{5B76E778-8AA3-4420-8097-1221F6741F08}">
      <text>
        <r>
          <rPr>
            <sz val="9"/>
            <color indexed="81"/>
            <rFont val="Tahoma"/>
            <family val="2"/>
          </rPr>
          <t xml:space="preserve">Total Cumulative Percentage should be 100 to account for all vehicle type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41" authorId="0" shapeId="0" xr:uid="{C034EC05-7D57-4C1C-B4BE-A93EFB16D78C}">
      <text>
        <r>
          <rPr>
            <sz val="9"/>
            <color indexed="81"/>
            <rFont val="Tahoma"/>
            <family val="2"/>
          </rPr>
          <t xml:space="preserve">Total Cumulative Percentage should be 100 to account for all vehicle type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41" authorId="0" shapeId="0" xr:uid="{FB2962BC-7611-4883-9D55-1B3EFEBE7149}">
      <text>
        <r>
          <rPr>
            <sz val="9"/>
            <color indexed="81"/>
            <rFont val="Tahoma"/>
            <family val="2"/>
          </rPr>
          <t xml:space="preserve">Total Cumulative Percentage should be 100 to account for all vehicle type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41" authorId="0" shapeId="0" xr:uid="{4069C616-358A-45F5-8624-9B33002099E6}">
      <text>
        <r>
          <rPr>
            <sz val="9"/>
            <color indexed="81"/>
            <rFont val="Tahoma"/>
            <family val="2"/>
          </rPr>
          <t xml:space="preserve">Total Cumulative Percentage should be 100 to account for all vehicle type
</t>
        </r>
      </text>
    </comment>
  </commentList>
</comments>
</file>

<file path=xl/sharedStrings.xml><?xml version="1.0" encoding="utf-8"?>
<sst xmlns="http://schemas.openxmlformats.org/spreadsheetml/2006/main" count="2775" uniqueCount="313">
  <si>
    <t>ORGANISATION NAME:</t>
  </si>
  <si>
    <t>No.</t>
  </si>
  <si>
    <t>Water</t>
  </si>
  <si>
    <t>TOTAL</t>
  </si>
  <si>
    <t>Landscape</t>
  </si>
  <si>
    <t>Forest</t>
  </si>
  <si>
    <t>DATA SOURCE:</t>
  </si>
  <si>
    <t>METHOD:</t>
  </si>
  <si>
    <t>Actual</t>
  </si>
  <si>
    <t>EMISSIONS FACTOR:</t>
  </si>
  <si>
    <t>kg CO2/kWh</t>
  </si>
  <si>
    <t>ANNUAL ELECTRICITY CONSUMPTION</t>
  </si>
  <si>
    <t>GHG PROTOCOL:</t>
  </si>
  <si>
    <t>Stationery Energy - SCOPE 2</t>
  </si>
  <si>
    <t>Date:</t>
  </si>
  <si>
    <t>kWh</t>
  </si>
  <si>
    <t>Water Bills</t>
  </si>
  <si>
    <t>kg CO2/m3</t>
  </si>
  <si>
    <r>
      <t xml:space="preserve">(2012 onwards. </t>
    </r>
    <r>
      <rPr>
        <i/>
        <sz val="11"/>
        <color theme="1"/>
        <rFont val="Calibri"/>
        <family val="2"/>
        <scheme val="minor"/>
      </rPr>
      <t>Source: CCM Study, UNEP)</t>
    </r>
  </si>
  <si>
    <t>ANNUAL WATER CONSUMPTION</t>
  </si>
  <si>
    <t>m3</t>
  </si>
  <si>
    <t>Waste - SCOPE 3</t>
  </si>
  <si>
    <t>Waste Disposal Bills</t>
  </si>
  <si>
    <t>kg CO2e/tonne</t>
  </si>
  <si>
    <r>
      <t xml:space="preserve">(2018 onwards. </t>
    </r>
    <r>
      <rPr>
        <i/>
        <sz val="11"/>
        <color theme="1"/>
        <rFont val="Calibri"/>
        <family val="2"/>
        <scheme val="minor"/>
      </rPr>
      <t>Source: DEFRA, 2018)</t>
    </r>
  </si>
  <si>
    <t>tonne</t>
  </si>
  <si>
    <t>People</t>
  </si>
  <si>
    <t>LCC REGISTRATION NO:</t>
  </si>
  <si>
    <t>BASELINE</t>
  </si>
  <si>
    <t>BUILDING TYPE:</t>
  </si>
  <si>
    <t>Unit</t>
  </si>
  <si>
    <t>MWh</t>
  </si>
  <si>
    <t>tCO2e</t>
  </si>
  <si>
    <t>FACILITATOR</t>
  </si>
  <si>
    <t>OWNER</t>
  </si>
  <si>
    <t>AUDITOR</t>
  </si>
  <si>
    <t>Name:</t>
  </si>
  <si>
    <t>BUILDING NAME:</t>
  </si>
  <si>
    <t>Occupancy</t>
  </si>
  <si>
    <t>% Reduction</t>
  </si>
  <si>
    <t>%</t>
  </si>
  <si>
    <t>Electricity Bills</t>
  </si>
  <si>
    <t>ANNUAL WASTE GENERATION</t>
  </si>
  <si>
    <t>Waste per Capita</t>
  </si>
  <si>
    <t>kg/pax</t>
  </si>
  <si>
    <t>Estimate</t>
  </si>
  <si>
    <t>Waste Recycled Data</t>
  </si>
  <si>
    <t>ANNUAL WASTE RECYCLED (Waste avoided from going to landfills)</t>
  </si>
  <si>
    <t>TOTAL
(Waste to Landfill)</t>
  </si>
  <si>
    <t>Total Waste Recycled</t>
  </si>
  <si>
    <t>Forestry</t>
  </si>
  <si>
    <t>Water Bodies</t>
  </si>
  <si>
    <t>kg CO2e/ha/year</t>
  </si>
  <si>
    <t>SEQUESTRATION POTENTIAL:</t>
  </si>
  <si>
    <t>ANNUAL CARBON SEQUESTRATION POTENTIAL</t>
  </si>
  <si>
    <t>Year</t>
  </si>
  <si>
    <t>Trees</t>
  </si>
  <si>
    <t>kg CO2e/tree/year</t>
  </si>
  <si>
    <t>(NC3)</t>
  </si>
  <si>
    <t>Baseline</t>
  </si>
  <si>
    <t>Transportation - SCOPE 1</t>
  </si>
  <si>
    <t>Cars (petrol)</t>
  </si>
  <si>
    <t>kg CO2e/km</t>
  </si>
  <si>
    <t>Source: DEFRA, 2018</t>
  </si>
  <si>
    <t>Motorcycle (petrol)</t>
  </si>
  <si>
    <t>Bus (per 18 people)</t>
  </si>
  <si>
    <t>Source: LCMB, 2017</t>
  </si>
  <si>
    <t>LOW CARBON CITIES 2030 CHALLENGE DATA FILE (LCC PARTNER)</t>
  </si>
  <si>
    <t>Petrol</t>
  </si>
  <si>
    <t>Diesel</t>
  </si>
  <si>
    <t>CNG</t>
  </si>
  <si>
    <t>kg CO2e/l</t>
  </si>
  <si>
    <t>Source: NEB, IPCC</t>
  </si>
  <si>
    <t>Fuel Type</t>
  </si>
  <si>
    <t>Fleet Size</t>
  </si>
  <si>
    <t>Emissions per Vehicle</t>
  </si>
  <si>
    <t>t/unit</t>
  </si>
  <si>
    <r>
      <rPr>
        <b/>
        <sz val="11"/>
        <color theme="1"/>
        <rFont val="Calibri"/>
        <family val="2"/>
        <scheme val="minor"/>
      </rPr>
      <t>USER GUIDE:</t>
    </r>
    <r>
      <rPr>
        <sz val="11"/>
        <color theme="1"/>
        <rFont val="Calibri"/>
        <family val="2"/>
        <scheme val="minor"/>
      </rPr>
      <t xml:space="preserve">
This data file will be used to support Local Authorities, Universities and Other Users in calculating the greenhouse gas emissions according to the requirements of the Low Carbon Cities 2030 Challenge. The output from this file will be used in the Provisional and Diamond Report. This data file will also be used as the main reference document during the Provisional &amp; Diamond Audit.</t>
    </r>
  </si>
  <si>
    <t>LCC ZONE / PBT:</t>
  </si>
  <si>
    <t>GHG EMISSIONS SUMMARY</t>
  </si>
  <si>
    <t>Energy</t>
  </si>
  <si>
    <t>kg CO2e/Mbtus</t>
  </si>
  <si>
    <t>DEFAULT</t>
  </si>
  <si>
    <t>LCC-P-010-07-0001</t>
  </si>
  <si>
    <t>Cyber 1</t>
  </si>
  <si>
    <t>REG. NO.</t>
  </si>
  <si>
    <t>REVISION</t>
  </si>
  <si>
    <t>DATE</t>
  </si>
  <si>
    <t>LOW CARBON CITIES 2030 CHALLENGE DATA FILE 
(LCC PARTNER)</t>
  </si>
  <si>
    <t>MGTC/DC/REC/LCC-010</t>
  </si>
  <si>
    <t>Method</t>
  </si>
  <si>
    <t>Waste 1</t>
  </si>
  <si>
    <t>Waste 2</t>
  </si>
  <si>
    <t>Greenery</t>
  </si>
  <si>
    <t>Mobility</t>
  </si>
  <si>
    <t>Total Emissions</t>
  </si>
  <si>
    <t>Baseline  Emissions</t>
  </si>
  <si>
    <t>BAU</t>
  </si>
  <si>
    <t>Population Base</t>
  </si>
  <si>
    <t>Population Final</t>
  </si>
  <si>
    <t>Number of years</t>
  </si>
  <si>
    <t>Growth/year  (%)</t>
  </si>
  <si>
    <t>Population factor (%)</t>
  </si>
  <si>
    <t>LCC-P-B100-01-0001</t>
  </si>
  <si>
    <t>WISMA MBSA</t>
  </si>
  <si>
    <t>MAJLIS BANDARAYA SHAH ALAM</t>
  </si>
  <si>
    <t>SEKSYEN 14, SHAH ALAM</t>
  </si>
  <si>
    <t>GOVERNMENT</t>
  </si>
  <si>
    <t>Baseline Year</t>
  </si>
  <si>
    <t>Project Year</t>
  </si>
  <si>
    <t>Hide</t>
  </si>
  <si>
    <t>Element</t>
  </si>
  <si>
    <t>Base year</t>
  </si>
  <si>
    <t xml:space="preserve">Population </t>
  </si>
  <si>
    <t>No of Year</t>
  </si>
  <si>
    <t>Adjusted Baseline</t>
  </si>
  <si>
    <t>kgCO2e/tonne</t>
  </si>
  <si>
    <t>(Excluding Baseline Year)</t>
  </si>
  <si>
    <t>Total Emissions (P)</t>
  </si>
  <si>
    <t>Business As Usual (B)</t>
  </si>
  <si>
    <t>Reduction Achieved (B-P)</t>
  </si>
  <si>
    <t>Percentage,% Reduction (B-P)/B</t>
  </si>
  <si>
    <t>(Adjusted Baseline)</t>
  </si>
  <si>
    <t>Baseline Only</t>
  </si>
  <si>
    <t>CARBON EMISSION SUMMARY, tCO2e</t>
  </si>
  <si>
    <t>CARBON SEQUESTRATION SUMMARY, tCO2e</t>
  </si>
  <si>
    <t>Diamond Recognition</t>
  </si>
  <si>
    <t>HIDE</t>
  </si>
  <si>
    <t>kgCO2e</t>
  </si>
  <si>
    <t>TOTAL AREA (HA):</t>
  </si>
  <si>
    <t>Population Base Year</t>
  </si>
  <si>
    <t>Population Final Year</t>
  </si>
  <si>
    <t>LOW CARBON CITIES 2030 CHALLENGE ENERGY DATA (LCC ZONE)</t>
  </si>
  <si>
    <t>LOW CARBON CITIES 2030 CHALLENGE WATER DATA (LCC ZONE)</t>
  </si>
  <si>
    <t>LOW CARBON CITIES 2030 CHALLENGE WASTE DATA (LCC ZONE)</t>
  </si>
  <si>
    <t>LOW CARBON CITIES 2030 CHALLENGE GREENERY &amp; WATER BODIES DATA (LCC ZONE)</t>
  </si>
  <si>
    <t>LOW CARBON CITIES 2030 CHALLENGE MOBILITY DATA (LCC ZONE)</t>
  </si>
  <si>
    <t>LCC ZONE AREA (HA):</t>
  </si>
  <si>
    <t>Actual - Traffic</t>
  </si>
  <si>
    <t>Traffic count of all Vehicles movement in the boundary</t>
  </si>
  <si>
    <t>Building A</t>
  </si>
  <si>
    <t>Building B</t>
  </si>
  <si>
    <t>tCO2/MWh</t>
  </si>
  <si>
    <t>Building C</t>
  </si>
  <si>
    <t>Pusat Komuniti</t>
  </si>
  <si>
    <t>All</t>
  </si>
  <si>
    <t>Partner</t>
  </si>
  <si>
    <t>Motorcycle</t>
  </si>
  <si>
    <t>Car</t>
  </si>
  <si>
    <t>MPV</t>
  </si>
  <si>
    <t>Bus</t>
  </si>
  <si>
    <t>Light Trck</t>
  </si>
  <si>
    <t>Heavy Trck</t>
  </si>
  <si>
    <t>Average Daily Traffic Volume</t>
  </si>
  <si>
    <t>Total Emission, tCO2e per year</t>
  </si>
  <si>
    <t>Total Emission, tCO2e per day</t>
  </si>
  <si>
    <t>ANNUAL MOBILITY CARBON EMISSION</t>
  </si>
  <si>
    <t>Transport Emission</t>
  </si>
  <si>
    <t>NonTransport Emission</t>
  </si>
  <si>
    <t>VKT</t>
  </si>
  <si>
    <t>HQ MPXX</t>
  </si>
  <si>
    <t>Masjid Kota</t>
  </si>
  <si>
    <t>Residential</t>
  </si>
  <si>
    <t>Section</t>
  </si>
  <si>
    <t>Sum of Traffic Volume x Vehicle Activity</t>
  </si>
  <si>
    <t xml:space="preserve">Gasoline </t>
  </si>
  <si>
    <t>Gasoline</t>
  </si>
  <si>
    <t>&gt; 50cc 2 stroke, Uncontrolled</t>
  </si>
  <si>
    <t>&gt; 50cc 4 stroke, Uncontrolled</t>
  </si>
  <si>
    <t>Oxydation Catalyst</t>
  </si>
  <si>
    <t>Three-way catalyst</t>
  </si>
  <si>
    <t>Moderate control</t>
  </si>
  <si>
    <t>*assumption fleet vehicle = 1; gasoline for motorcycle, car, mpv and diesel for bus, light &amp; heavy trucks.</t>
  </si>
  <si>
    <t>&gt;&gt;add</t>
  </si>
  <si>
    <t>Section Traffic (Daily Traffic Volume)</t>
  </si>
  <si>
    <t>Traffic distance x traffic volume</t>
  </si>
  <si>
    <t>Traffic input</t>
  </si>
  <si>
    <t>TOTAL Cummulative based on fuel type</t>
  </si>
  <si>
    <t>Fuel type</t>
  </si>
  <si>
    <t>Total VKT Further Segregation based on Emission Control Technology</t>
  </si>
  <si>
    <t>Total VKT Seggregation based on Fuel Type</t>
  </si>
  <si>
    <t>Seggregated CO2 Emission based on Emission Control Technology</t>
  </si>
  <si>
    <t>g/km</t>
  </si>
  <si>
    <t>Motorcycle (petrol) &gt;50cc 4 stroke, uncontrolled</t>
  </si>
  <si>
    <t>Motorcycle (petrol) &gt;50cc 2 stroke, uncontrolled</t>
  </si>
  <si>
    <t>Passenger car (petrol) Oxidation Catalyst)</t>
  </si>
  <si>
    <t>Passenger car (petrol) Three-way Catalyst)</t>
  </si>
  <si>
    <t>MPV (petrol) Moderate Control</t>
  </si>
  <si>
    <t>Bus (diesel), Moderate Control</t>
  </si>
  <si>
    <t>Light-duty Truck (diesel), Moderate Control</t>
  </si>
  <si>
    <t>Heavy-duty Truck (diesel), Moderate Control</t>
  </si>
  <si>
    <t xml:space="preserve">Section </t>
  </si>
  <si>
    <t>Length, (km)</t>
  </si>
  <si>
    <t>ADD Here&gt;&gt;</t>
  </si>
  <si>
    <t>INPUT</t>
  </si>
  <si>
    <t>RESULT</t>
  </si>
  <si>
    <t>ALL</t>
  </si>
  <si>
    <t>TOT Emission Gas</t>
  </si>
  <si>
    <t>TOR Emission Diesel</t>
  </si>
  <si>
    <t>Length</t>
  </si>
  <si>
    <t>TRAFFIC FACTOR:</t>
  </si>
  <si>
    <t>%per year</t>
  </si>
  <si>
    <t>Increment Rate</t>
  </si>
  <si>
    <t>Increment Rate Factor</t>
  </si>
  <si>
    <t>per year</t>
  </si>
  <si>
    <t>Light-duty Truck (gasoline), Moderate Control</t>
  </si>
  <si>
    <t>Uncontrolled</t>
  </si>
  <si>
    <t>Advanced controlled</t>
  </si>
  <si>
    <t>Passenger car (CNG) Uncontrolled</t>
  </si>
  <si>
    <t>Passenger car (CNG) Advanced Control</t>
  </si>
  <si>
    <t>TOR Emission CNG</t>
  </si>
  <si>
    <t>MPV (diesel) Moderate Control</t>
  </si>
  <si>
    <t>(nos)</t>
  </si>
  <si>
    <t>Number of days in the year of assessment</t>
  </si>
  <si>
    <t>ANNUAL MOBILITY CARBON EMISSION SUMMARY</t>
  </si>
  <si>
    <t>Presets</t>
  </si>
  <si>
    <t>Fuel Type (%)</t>
  </si>
  <si>
    <t>Passenger Car</t>
  </si>
  <si>
    <t>Light-duty Truck</t>
  </si>
  <si>
    <t>Heavy-duty Truck</t>
  </si>
  <si>
    <t>Total Cummulative %</t>
  </si>
  <si>
    <t>Emission Standards Gasoline Fuel</t>
  </si>
  <si>
    <t>Moderate Control</t>
  </si>
  <si>
    <t>Early Non-catalyst Control</t>
  </si>
  <si>
    <t>Non-Catalyst Control</t>
  </si>
  <si>
    <t>Oxidation Catalyst</t>
  </si>
  <si>
    <t>Three-way Catalyst</t>
  </si>
  <si>
    <t>&lt; 50cc, Uncontrolled</t>
  </si>
  <si>
    <t>CUMULATIVE GASOLINE</t>
  </si>
  <si>
    <t>GASOLINE</t>
  </si>
  <si>
    <t>Emission Standards Diesel Fuel</t>
  </si>
  <si>
    <t>CUMULATIVE DIESEL</t>
  </si>
  <si>
    <t>DIESEL</t>
  </si>
  <si>
    <t>Emission Standards    CNG Fuel</t>
  </si>
  <si>
    <t>Advanced Control</t>
  </si>
  <si>
    <t>Stoichiometric Engine, Uncontrolled</t>
  </si>
  <si>
    <t>Stoichiometric Engine, Advanced Control</t>
  </si>
  <si>
    <t>Lean Burn Engine, Uncontrolled</t>
  </si>
  <si>
    <t>Lean Burn Engine, Advanced Control</t>
  </si>
  <si>
    <t>CUMULATIVE CNG</t>
  </si>
  <si>
    <t>Estimate - Traffic</t>
  </si>
  <si>
    <t>ANNUAL MOBILITY CARBON EMISSION DETAILS</t>
  </si>
  <si>
    <t>DAILY TRAFFIC MOBILITY DATA</t>
  </si>
  <si>
    <t>ADD Here for more Road Section&gt;&gt;</t>
  </si>
  <si>
    <t>CALCULATOR SECTION</t>
  </si>
  <si>
    <t>Constants</t>
  </si>
  <si>
    <t>EOL</t>
  </si>
  <si>
    <t>Mobility Usage of Vehicles within the Zone</t>
  </si>
  <si>
    <t>Vehicle Type</t>
  </si>
  <si>
    <t>ANNUAL MOBILITY USAGE (KM TRAVEL, KM)</t>
  </si>
  <si>
    <t>Motorcycle (petrol) &lt; 50cc, Uncontrolled</t>
  </si>
  <si>
    <t>Passenger car (petrol) Three-way Catalyst</t>
  </si>
  <si>
    <t>Passenger car (petrol) Oxidation Catalyst</t>
  </si>
  <si>
    <t>Passenger car (petrol) Non-Catalyst Control</t>
  </si>
  <si>
    <t>Passenger car (petrol) Early Non-Catalyst Control</t>
  </si>
  <si>
    <t>Passenger car (petrol) Uncontrolled</t>
  </si>
  <si>
    <t>Heavy-duty Truck (CNG), Stoichiometric Engine, Uncontrolled</t>
  </si>
  <si>
    <t>Heavy-duty Truck (CNG), Stoichiometric Engine, Advanced Control</t>
  </si>
  <si>
    <t>Heavy-duty Truck (CNG), Lean Burn Engine, Uncontrolled</t>
  </si>
  <si>
    <t>Heavy-duty Truck (CNG), Lean Burn Engine, Advanced Control</t>
  </si>
  <si>
    <t>km</t>
  </si>
  <si>
    <t>*Ensure the coverage for INPUT Table above</t>
  </si>
  <si>
    <t>TRAFFIC INPUT</t>
  </si>
  <si>
    <t>&gt;&gt;add HERE</t>
  </si>
  <si>
    <t>CUMM GASOLINE</t>
  </si>
  <si>
    <t>CUMM DIESEL</t>
  </si>
  <si>
    <t>CUMM CNG</t>
  </si>
  <si>
    <t>EOL Calculator Section</t>
  </si>
  <si>
    <t>How to insert new year data</t>
  </si>
  <si>
    <t>Waste Option</t>
  </si>
  <si>
    <t>Mobility Option</t>
  </si>
  <si>
    <t>Type 1 or 2</t>
  </si>
  <si>
    <t>Type 3 or 4</t>
  </si>
  <si>
    <t>Population</t>
  </si>
  <si>
    <t>ANNUAL MOBILITY USAGE (EMISSIONS, kgCO2e)</t>
  </si>
  <si>
    <t>ADD Here for more rows&gt;&gt;</t>
  </si>
  <si>
    <t>(&gt; 5 years age)</t>
  </si>
  <si>
    <r>
      <t>Trees</t>
    </r>
    <r>
      <rPr>
        <sz val="10"/>
        <color theme="1"/>
        <rFont val="Calibri"/>
        <family val="2"/>
        <scheme val="minor"/>
      </rPr>
      <t xml:space="preserve"> (yr 2021 onwards)</t>
    </r>
  </si>
  <si>
    <t>MAJLIS PERBANDARAN XXY</t>
  </si>
  <si>
    <t>LCC-Z-B090-XX-XXXX</t>
  </si>
  <si>
    <r>
      <t xml:space="preserve">Waste 1     </t>
    </r>
    <r>
      <rPr>
        <b/>
        <u/>
        <sz val="11"/>
        <color theme="1"/>
        <rFont val="Calibri"/>
        <family val="2"/>
        <scheme val="minor"/>
      </rPr>
      <t>[1]</t>
    </r>
  </si>
  <si>
    <r>
      <t xml:space="preserve">Waste 2     </t>
    </r>
    <r>
      <rPr>
        <b/>
        <u/>
        <sz val="11"/>
        <color theme="1"/>
        <rFont val="Calibri"/>
        <family val="2"/>
        <scheme val="minor"/>
      </rPr>
      <t>[2]</t>
    </r>
  </si>
  <si>
    <r>
      <t xml:space="preserve">Mobility 1  </t>
    </r>
    <r>
      <rPr>
        <b/>
        <u/>
        <sz val="11"/>
        <color theme="1"/>
        <rFont val="Calibri"/>
        <family val="2"/>
        <scheme val="minor"/>
      </rPr>
      <t>[3]</t>
    </r>
  </si>
  <si>
    <r>
      <t xml:space="preserve">Mobility 2  </t>
    </r>
    <r>
      <rPr>
        <b/>
        <u/>
        <sz val="11"/>
        <color theme="1"/>
        <rFont val="Calibri"/>
        <family val="2"/>
        <scheme val="minor"/>
      </rPr>
      <t>[4]</t>
    </r>
  </si>
  <si>
    <t xml:space="preserve">Reduction </t>
  </si>
  <si>
    <t>Reduction</t>
  </si>
  <si>
    <t>Landscape Inventory</t>
  </si>
  <si>
    <t>Section Name</t>
  </si>
  <si>
    <t>Create a copy worksheet from the last year data</t>
  </si>
  <si>
    <t>Rename the worksheet year name to the intended year name</t>
  </si>
  <si>
    <t>At cell B42:G42 select and copy AND paste to the next line</t>
  </si>
  <si>
    <t>Rename the first cell into current year ; Mobility 2 - Traffic DATA 201X and do the same to the rest by pulling the cursor handle to the right</t>
  </si>
  <si>
    <t>At cell B49:G50 select and copy AND paste to the next line</t>
  </si>
  <si>
    <t>Rename the respective first cells into current year ; Mobility 2 - Traffic DATA 201X and do the same to the rest by pulling the cursor handle to the right</t>
  </si>
  <si>
    <t>Check the summary result for sync in this page and summary (main) page</t>
  </si>
  <si>
    <t>Jalan Temenggong</t>
  </si>
  <si>
    <t>Jalan Laksamana</t>
  </si>
  <si>
    <t>Persiaran Jubli Intan</t>
  </si>
  <si>
    <t>Source:</t>
  </si>
  <si>
    <t>NEB, IPCC</t>
  </si>
  <si>
    <t>Unit:</t>
  </si>
  <si>
    <t>DEFRA, 2018</t>
  </si>
  <si>
    <t>LCMB, 2017</t>
  </si>
  <si>
    <t>Forest
(ha)</t>
  </si>
  <si>
    <t>Landscape
(ha)</t>
  </si>
  <si>
    <t>Water
(ha)</t>
  </si>
  <si>
    <t>Trees
(nos)</t>
  </si>
  <si>
    <t>Total Sequestration</t>
  </si>
  <si>
    <t>Seq. Increase</t>
  </si>
  <si>
    <t>% Increase</t>
  </si>
  <si>
    <t>Sequestration Increase</t>
  </si>
  <si>
    <t>Percentage, % Increase</t>
  </si>
  <si>
    <r>
      <t xml:space="preserve">(2014 onwards.Peninsular Malaysia </t>
    </r>
    <r>
      <rPr>
        <i/>
        <sz val="11"/>
        <color theme="1"/>
        <rFont val="Calibri"/>
        <family val="2"/>
        <scheme val="minor"/>
      </rPr>
      <t>Source: MESTECC</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</si>
</sst>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00"/>
    <numFmt numFmtId="166" formatCode="0.0000000"/>
  </numFmts>
  <fonts count="32"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i/>
      <sz val="11"/>
      <color theme="1"/>
      <name val="Calibri"/>
      <family val="2"/>
      <scheme val="minor"/>
    </font>
    <font>
      <sz val="8"/>
      <name val="Calibri"/>
      <family val="2"/>
      <scheme val="minor"/>
    </font>
    <font>
      <sz val="9"/>
      <color indexed="81"/>
      <name val="Tahoma"/>
      <family val="2"/>
    </font>
    <font>
      <b/>
      <sz val="9"/>
      <color indexed="81"/>
      <name val="Tahoma"/>
      <family val="2"/>
    </font>
    <font>
      <sz val="8"/>
      <color theme="1"/>
      <name val="Arial"/>
      <family val="2"/>
    </font>
    <font>
      <b/>
      <sz val="14"/>
      <color theme="1"/>
      <name val="Arial"/>
      <family val="2"/>
    </font>
    <font>
      <b/>
      <sz val="11"/>
      <color theme="0"/>
      <name val="Calibri"/>
      <family val="2"/>
      <scheme val="minor"/>
    </font>
    <font>
      <sz val="11"/>
      <color theme="0"/>
      <name val="Calibri"/>
      <family val="2"/>
      <scheme val="minor"/>
    </font>
    <font>
      <sz val="8"/>
      <color theme="1"/>
      <name val="Calibri"/>
      <family val="2"/>
      <scheme val="minor"/>
    </font>
    <font>
      <sz val="11"/>
      <name val="Calibri"/>
      <family val="2"/>
      <scheme val="minor"/>
    </font>
    <font>
      <b/>
      <sz val="10"/>
      <color theme="0"/>
      <name val="Calibri"/>
      <family val="2"/>
      <scheme val="minor"/>
    </font>
    <font>
      <sz val="11"/>
      <color rgb="FFFF0000"/>
      <name val="Calibri"/>
      <family val="2"/>
      <scheme val="minor"/>
    </font>
    <font>
      <b/>
      <sz val="10"/>
      <color theme="1"/>
      <name val="Calibri"/>
      <family val="2"/>
      <scheme val="minor"/>
    </font>
    <font>
      <sz val="10"/>
      <color theme="1"/>
      <name val="Calibri"/>
      <family val="2"/>
      <scheme val="minor"/>
    </font>
    <font>
      <sz val="10"/>
      <color theme="0"/>
      <name val="Calibri"/>
      <family val="2"/>
      <scheme val="minor"/>
    </font>
    <font>
      <b/>
      <sz val="11"/>
      <name val="Calibri"/>
      <family val="2"/>
      <scheme val="minor"/>
    </font>
    <font>
      <sz val="11"/>
      <color theme="4"/>
      <name val="Calibri"/>
      <family val="2"/>
      <scheme val="minor"/>
    </font>
    <font>
      <sz val="9"/>
      <color theme="1"/>
      <name val="Calibri"/>
      <family val="2"/>
      <scheme val="minor"/>
    </font>
    <font>
      <sz val="8"/>
      <color theme="0"/>
      <name val="Calibri"/>
      <family val="2"/>
      <scheme val="minor"/>
    </font>
    <font>
      <i/>
      <sz val="11"/>
      <color theme="0"/>
      <name val="Calibri"/>
      <family val="2"/>
      <scheme val="minor"/>
    </font>
    <font>
      <b/>
      <sz val="11"/>
      <color rgb="FFFF0000"/>
      <name val="Calibri"/>
      <family val="2"/>
      <scheme val="minor"/>
    </font>
    <font>
      <sz val="9"/>
      <name val="Calibri"/>
      <family val="2"/>
      <scheme val="minor"/>
    </font>
    <font>
      <i/>
      <sz val="11"/>
      <name val="Calibri"/>
      <family val="2"/>
      <scheme val="minor"/>
    </font>
    <font>
      <b/>
      <i/>
      <sz val="11"/>
      <color theme="0"/>
      <name val="Calibri"/>
      <family val="2"/>
      <scheme val="minor"/>
    </font>
    <font>
      <sz val="11"/>
      <color theme="7" tint="-0.249977111117893"/>
      <name val="Calibri"/>
      <family val="2"/>
      <scheme val="minor"/>
    </font>
    <font>
      <i/>
      <sz val="10"/>
      <name val="Calibri"/>
      <family val="2"/>
      <scheme val="minor"/>
    </font>
    <font>
      <b/>
      <i/>
      <u/>
      <sz val="11"/>
      <name val="Calibri"/>
      <family val="2"/>
      <scheme val="minor"/>
    </font>
    <font>
      <b/>
      <u/>
      <sz val="11"/>
      <color theme="1"/>
      <name val="Calibri"/>
      <family val="2"/>
      <scheme val="minor"/>
    </font>
  </fonts>
  <fills count="28">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1"/>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FFFF00"/>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4"/>
        <bgColor indexed="64"/>
      </patternFill>
    </fill>
    <fill>
      <patternFill patternType="solid">
        <fgColor rgb="FFFFC000"/>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7"/>
        <bgColor indexed="64"/>
      </patternFill>
    </fill>
    <fill>
      <patternFill patternType="solid">
        <fgColor theme="2"/>
        <bgColor indexed="64"/>
      </patternFill>
    </fill>
    <fill>
      <patternFill patternType="solid">
        <fgColor theme="1" tint="0.499984740745262"/>
        <bgColor indexed="64"/>
      </patternFill>
    </fill>
    <fill>
      <patternFill patternType="solid">
        <fgColor theme="2" tint="-0.499984740745262"/>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theme="9"/>
        <bgColor indexed="64"/>
      </patternFill>
    </fill>
  </fills>
  <borders count="6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ck">
        <color rgb="FFFFFF00"/>
      </left>
      <right/>
      <top style="thick">
        <color rgb="FFFFFF00"/>
      </top>
      <bottom/>
      <diagonal/>
    </border>
    <border>
      <left/>
      <right/>
      <top style="thick">
        <color rgb="FFFFFF00"/>
      </top>
      <bottom/>
      <diagonal/>
    </border>
    <border>
      <left/>
      <right style="thick">
        <color rgb="FFFFFF00"/>
      </right>
      <top style="thick">
        <color rgb="FFFFFF00"/>
      </top>
      <bottom/>
      <diagonal/>
    </border>
    <border>
      <left style="thick">
        <color rgb="FFFFFF00"/>
      </left>
      <right/>
      <top/>
      <bottom/>
      <diagonal/>
    </border>
    <border>
      <left/>
      <right style="thick">
        <color rgb="FFFFFF00"/>
      </right>
      <top/>
      <bottom/>
      <diagonal/>
    </border>
    <border>
      <left style="thick">
        <color rgb="FFFFFF00"/>
      </left>
      <right/>
      <top/>
      <bottom style="thick">
        <color rgb="FFFFFF00"/>
      </bottom>
      <diagonal/>
    </border>
    <border>
      <left/>
      <right/>
      <top/>
      <bottom style="thick">
        <color rgb="FFFFFF00"/>
      </bottom>
      <diagonal/>
    </border>
    <border>
      <left/>
      <right style="thick">
        <color rgb="FFFFFF00"/>
      </right>
      <top/>
      <bottom style="thick">
        <color rgb="FFFFFF00"/>
      </bottom>
      <diagonal/>
    </border>
    <border>
      <left style="thick">
        <color rgb="FFFFFF00"/>
      </left>
      <right style="thick">
        <color rgb="FFFFFF00"/>
      </right>
      <top style="thick">
        <color rgb="FFFFFF00"/>
      </top>
      <bottom/>
      <diagonal/>
    </border>
    <border>
      <left style="thick">
        <color rgb="FFFFFF00"/>
      </left>
      <right style="thick">
        <color rgb="FFFFFF00"/>
      </right>
      <top/>
      <bottom style="thick">
        <color rgb="FFFFFF00"/>
      </bottom>
      <diagonal/>
    </border>
    <border>
      <left style="thick">
        <color rgb="FFFFFF00"/>
      </left>
      <right style="thin">
        <color indexed="64"/>
      </right>
      <top style="thick">
        <color rgb="FFFFFF00"/>
      </top>
      <bottom style="thin">
        <color indexed="64"/>
      </bottom>
      <diagonal/>
    </border>
    <border>
      <left/>
      <right style="thin">
        <color indexed="64"/>
      </right>
      <top style="thick">
        <color rgb="FFFFFF00"/>
      </top>
      <bottom style="thin">
        <color indexed="64"/>
      </bottom>
      <diagonal/>
    </border>
    <border>
      <left style="thin">
        <color indexed="64"/>
      </left>
      <right style="thin">
        <color indexed="64"/>
      </right>
      <top style="thick">
        <color rgb="FFFFFF00"/>
      </top>
      <bottom style="thin">
        <color indexed="64"/>
      </bottom>
      <diagonal/>
    </border>
    <border>
      <left style="thin">
        <color indexed="64"/>
      </left>
      <right style="thick">
        <color rgb="FFFFFF00"/>
      </right>
      <top style="thick">
        <color rgb="FFFFFF00"/>
      </top>
      <bottom style="thin">
        <color indexed="64"/>
      </bottom>
      <diagonal/>
    </border>
    <border>
      <left style="thick">
        <color rgb="FFFFFF00"/>
      </left>
      <right style="thin">
        <color indexed="64"/>
      </right>
      <top style="thin">
        <color indexed="64"/>
      </top>
      <bottom style="thin">
        <color indexed="64"/>
      </bottom>
      <diagonal/>
    </border>
    <border>
      <left style="thin">
        <color indexed="64"/>
      </left>
      <right style="thick">
        <color rgb="FFFFFF00"/>
      </right>
      <top style="thin">
        <color indexed="64"/>
      </top>
      <bottom style="thin">
        <color indexed="64"/>
      </bottom>
      <diagonal/>
    </border>
    <border>
      <left style="thick">
        <color rgb="FFFFFF00"/>
      </left>
      <right style="thin">
        <color indexed="64"/>
      </right>
      <top style="thin">
        <color indexed="64"/>
      </top>
      <bottom style="thick">
        <color rgb="FFFFFF00"/>
      </bottom>
      <diagonal/>
    </border>
    <border>
      <left/>
      <right style="thin">
        <color indexed="64"/>
      </right>
      <top style="thin">
        <color indexed="64"/>
      </top>
      <bottom style="thick">
        <color rgb="FFFFFF00"/>
      </bottom>
      <diagonal/>
    </border>
    <border>
      <left style="thin">
        <color indexed="64"/>
      </left>
      <right style="thin">
        <color indexed="64"/>
      </right>
      <top style="thin">
        <color indexed="64"/>
      </top>
      <bottom style="thick">
        <color rgb="FFFFFF00"/>
      </bottom>
      <diagonal/>
    </border>
    <border>
      <left style="thin">
        <color indexed="64"/>
      </left>
      <right style="thick">
        <color rgb="FFFFFF00"/>
      </right>
      <top style="thin">
        <color indexed="64"/>
      </top>
      <bottom style="thick">
        <color rgb="FFFFFF00"/>
      </bottom>
      <diagonal/>
    </border>
    <border>
      <left style="thick">
        <color rgb="FFFFFF00"/>
      </left>
      <right style="thin">
        <color indexed="64"/>
      </right>
      <top style="thick">
        <color rgb="FFFFFF00"/>
      </top>
      <bottom style="thick">
        <color rgb="FFFFFF00"/>
      </bottom>
      <diagonal/>
    </border>
    <border>
      <left style="thin">
        <color indexed="64"/>
      </left>
      <right style="thin">
        <color indexed="64"/>
      </right>
      <top style="thick">
        <color rgb="FFFFFF00"/>
      </top>
      <bottom style="thick">
        <color rgb="FFFFFF00"/>
      </bottom>
      <diagonal/>
    </border>
    <border>
      <left style="thin">
        <color indexed="64"/>
      </left>
      <right style="thick">
        <color rgb="FFFFFF00"/>
      </right>
      <top style="thick">
        <color rgb="FFFFFF00"/>
      </top>
      <bottom style="thick">
        <color rgb="FFFFFF00"/>
      </bottom>
      <diagonal/>
    </border>
    <border>
      <left style="thick">
        <color rgb="FFFFFF00"/>
      </left>
      <right style="thin">
        <color indexed="64"/>
      </right>
      <top style="thick">
        <color rgb="FFFFFF00"/>
      </top>
      <bottom/>
      <diagonal/>
    </border>
    <border>
      <left style="thick">
        <color rgb="FFFFFF00"/>
      </left>
      <right style="thin">
        <color indexed="64"/>
      </right>
      <top/>
      <bottom/>
      <diagonal/>
    </border>
    <border>
      <left style="thick">
        <color rgb="FFFFFF00"/>
      </left>
      <right style="thin">
        <color indexed="64"/>
      </right>
      <top/>
      <bottom style="thick">
        <color rgb="FFFFFF00"/>
      </bottom>
      <diagonal/>
    </border>
    <border>
      <left style="thick">
        <color rgb="FFFFFF00"/>
      </left>
      <right style="thin">
        <color indexed="64"/>
      </right>
      <top style="thin">
        <color indexed="64"/>
      </top>
      <bottom/>
      <diagonal/>
    </border>
    <border>
      <left style="thin">
        <color indexed="64"/>
      </left>
      <right style="thick">
        <color rgb="FFFFFF00"/>
      </right>
      <top style="thin">
        <color indexed="64"/>
      </top>
      <bottom/>
      <diagonal/>
    </border>
    <border>
      <left style="thick">
        <color rgb="FFFFFF00"/>
      </left>
      <right style="thick">
        <color rgb="FFFFFF00"/>
      </right>
      <top style="thick">
        <color rgb="FFFFFF00"/>
      </top>
      <bottom style="thin">
        <color indexed="64"/>
      </bottom>
      <diagonal/>
    </border>
    <border>
      <left style="thick">
        <color rgb="FFFFFF00"/>
      </left>
      <right style="thick">
        <color rgb="FFFFFF00"/>
      </right>
      <top style="thin">
        <color indexed="64"/>
      </top>
      <bottom style="thick">
        <color rgb="FFFFFF00"/>
      </bottom>
      <diagonal/>
    </border>
    <border>
      <left/>
      <right style="thick">
        <color rgb="FFFFFF00"/>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ck">
        <color rgb="FFFFFF00"/>
      </bottom>
      <diagonal/>
    </border>
    <border>
      <left style="thin">
        <color indexed="64"/>
      </left>
      <right style="thin">
        <color indexed="64"/>
      </right>
      <top/>
      <bottom style="thick">
        <color rgb="FFFFFF00"/>
      </bottom>
      <diagonal/>
    </border>
    <border>
      <left style="thin">
        <color indexed="64"/>
      </left>
      <right/>
      <top/>
      <bottom style="thick">
        <color rgb="FFFFFF00"/>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86">
    <xf numFmtId="0" fontId="0" fillId="0" borderId="0" xfId="0"/>
    <xf numFmtId="0" fontId="2" fillId="0" borderId="0" xfId="0" applyFont="1"/>
    <xf numFmtId="0" fontId="0" fillId="0" borderId="4" xfId="0" applyBorder="1"/>
    <xf numFmtId="0" fontId="0" fillId="0" borderId="0" xfId="0" applyAlignment="1">
      <alignment horizontal="center"/>
    </xf>
    <xf numFmtId="0" fontId="2" fillId="2" borderId="4" xfId="0" applyFont="1" applyFill="1" applyBorder="1" applyAlignment="1">
      <alignment horizontal="center"/>
    </xf>
    <xf numFmtId="0" fontId="2" fillId="0" borderId="0" xfId="0" applyFont="1" applyAlignment="1">
      <alignment horizontal="left"/>
    </xf>
    <xf numFmtId="0" fontId="0" fillId="0" borderId="0" xfId="0" applyAlignment="1">
      <alignment horizontal="left"/>
    </xf>
    <xf numFmtId="0" fontId="0" fillId="0" borderId="16" xfId="0" applyBorder="1"/>
    <xf numFmtId="14" fontId="0" fillId="0" borderId="0" xfId="0" applyNumberFormat="1"/>
    <xf numFmtId="0" fontId="0" fillId="0" borderId="7" xfId="0" applyBorder="1"/>
    <xf numFmtId="0" fontId="2" fillId="2" borderId="0" xfId="0" applyFont="1" applyFill="1" applyAlignment="1">
      <alignment horizontal="center"/>
    </xf>
    <xf numFmtId="0" fontId="0" fillId="2" borderId="4" xfId="0" applyFill="1" applyBorder="1"/>
    <xf numFmtId="164" fontId="0" fillId="0" borderId="0" xfId="1" applyNumberFormat="1" applyFont="1" applyAlignment="1">
      <alignment horizontal="center"/>
    </xf>
    <xf numFmtId="0" fontId="0" fillId="0" borderId="0" xfId="0" applyAlignment="1">
      <alignment horizontal="right"/>
    </xf>
    <xf numFmtId="0" fontId="0" fillId="0" borderId="5" xfId="0" applyBorder="1" applyAlignment="1">
      <alignment horizontal="center"/>
    </xf>
    <xf numFmtId="0" fontId="2" fillId="0" borderId="0" xfId="0" applyFont="1" applyAlignment="1">
      <alignment horizontal="center"/>
    </xf>
    <xf numFmtId="0" fontId="2" fillId="0" borderId="4" xfId="0" applyFont="1" applyBorder="1"/>
    <xf numFmtId="0" fontId="2" fillId="2" borderId="16" xfId="0" applyFont="1" applyFill="1" applyBorder="1" applyAlignment="1">
      <alignment horizontal="center" vertical="center"/>
    </xf>
    <xf numFmtId="10" fontId="0" fillId="2" borderId="4" xfId="2" applyNumberFormat="1" applyFont="1" applyFill="1" applyBorder="1"/>
    <xf numFmtId="0" fontId="0" fillId="4" borderId="17" xfId="0" applyFill="1" applyBorder="1" applyAlignment="1">
      <alignment horizontal="right"/>
    </xf>
    <xf numFmtId="0" fontId="2" fillId="0" borderId="0" xfId="0" applyFont="1" applyAlignment="1">
      <alignment horizontal="right"/>
    </xf>
    <xf numFmtId="0" fontId="8" fillId="0" borderId="20" xfId="0" applyFont="1" applyBorder="1" applyAlignment="1">
      <alignment vertical="center" wrapText="1"/>
    </xf>
    <xf numFmtId="0" fontId="2" fillId="6" borderId="0" xfId="0" applyFont="1" applyFill="1"/>
    <xf numFmtId="0" fontId="0" fillId="6" borderId="0" xfId="0" applyFill="1"/>
    <xf numFmtId="0" fontId="2" fillId="2" borderId="4" xfId="0" applyFont="1" applyFill="1" applyBorder="1" applyAlignment="1">
      <alignment horizontal="center" vertical="center"/>
    </xf>
    <xf numFmtId="0" fontId="2" fillId="6" borderId="4" xfId="0" applyFont="1" applyFill="1" applyBorder="1" applyAlignment="1">
      <alignment horizontal="center"/>
    </xf>
    <xf numFmtId="0" fontId="2" fillId="6" borderId="4" xfId="0" applyFont="1" applyFill="1" applyBorder="1"/>
    <xf numFmtId="0" fontId="0" fillId="6" borderId="4" xfId="0" applyFill="1" applyBorder="1" applyAlignment="1">
      <alignment horizontal="center"/>
    </xf>
    <xf numFmtId="10" fontId="0" fillId="6" borderId="4" xfId="2" applyNumberFormat="1" applyFont="1" applyFill="1" applyBorder="1"/>
    <xf numFmtId="0" fontId="0" fillId="0" borderId="12" xfId="0" applyBorder="1" applyAlignment="1">
      <alignment horizontal="center"/>
    </xf>
    <xf numFmtId="0" fontId="0" fillId="4" borderId="4" xfId="0" applyFill="1" applyBorder="1"/>
    <xf numFmtId="43" fontId="0" fillId="0" borderId="0" xfId="1" applyFont="1"/>
    <xf numFmtId="0" fontId="2" fillId="6" borderId="0" xfId="0" applyFont="1" applyFill="1" applyAlignment="1">
      <alignment horizontal="center" vertical="center"/>
    </xf>
    <xf numFmtId="43" fontId="2" fillId="0" borderId="0" xfId="1" applyFont="1"/>
    <xf numFmtId="43" fontId="2" fillId="6" borderId="0" xfId="0" applyNumberFormat="1" applyFont="1" applyFill="1" applyAlignment="1">
      <alignment horizontal="center" vertical="center"/>
    </xf>
    <xf numFmtId="166" fontId="0" fillId="0" borderId="0" xfId="0" applyNumberFormat="1"/>
    <xf numFmtId="1" fontId="0" fillId="0" borderId="0" xfId="0" applyNumberFormat="1"/>
    <xf numFmtId="43" fontId="2" fillId="6" borderId="4" xfId="1" applyFont="1" applyFill="1" applyBorder="1" applyAlignment="1"/>
    <xf numFmtId="43" fontId="0" fillId="2" borderId="4" xfId="1" applyFont="1" applyFill="1" applyBorder="1"/>
    <xf numFmtId="43" fontId="0" fillId="0" borderId="4" xfId="1" applyFont="1" applyBorder="1"/>
    <xf numFmtId="9" fontId="0" fillId="6" borderId="4" xfId="2" applyFont="1" applyFill="1" applyBorder="1"/>
    <xf numFmtId="9" fontId="0" fillId="0" borderId="0" xfId="2" applyFont="1"/>
    <xf numFmtId="0" fontId="0" fillId="0" borderId="0" xfId="0" applyAlignment="1">
      <alignment wrapText="1"/>
    </xf>
    <xf numFmtId="0" fontId="11" fillId="4" borderId="0" xfId="0" applyFont="1" applyFill="1"/>
    <xf numFmtId="166" fontId="11" fillId="4" borderId="0" xfId="0" applyNumberFormat="1" applyFont="1" applyFill="1"/>
    <xf numFmtId="0" fontId="2" fillId="8" borderId="4" xfId="0" applyFont="1" applyFill="1" applyBorder="1"/>
    <xf numFmtId="0" fontId="0" fillId="8" borderId="4" xfId="0" applyFill="1" applyBorder="1"/>
    <xf numFmtId="0" fontId="10" fillId="4" borderId="0" xfId="0" applyFont="1" applyFill="1"/>
    <xf numFmtId="2" fontId="2" fillId="2" borderId="4" xfId="0" applyNumberFormat="1" applyFont="1" applyFill="1" applyBorder="1"/>
    <xf numFmtId="2" fontId="2" fillId="6" borderId="4" xfId="0" applyNumberFormat="1" applyFont="1" applyFill="1" applyBorder="1"/>
    <xf numFmtId="1" fontId="0" fillId="0" borderId="4" xfId="0" applyNumberFormat="1" applyBorder="1"/>
    <xf numFmtId="43" fontId="0" fillId="0" borderId="0" xfId="0" applyNumberFormat="1"/>
    <xf numFmtId="0" fontId="12" fillId="6" borderId="0" xfId="0" applyFont="1" applyFill="1"/>
    <xf numFmtId="0" fontId="2" fillId="8" borderId="4" xfId="0" applyFont="1" applyFill="1" applyBorder="1" applyAlignment="1">
      <alignment horizontal="right"/>
    </xf>
    <xf numFmtId="0" fontId="0" fillId="13" borderId="4" xfId="0" applyFill="1" applyBorder="1" applyAlignment="1">
      <alignment horizontal="right"/>
    </xf>
    <xf numFmtId="9" fontId="0" fillId="13" borderId="4" xfId="2" applyFont="1" applyFill="1" applyBorder="1" applyAlignment="1">
      <alignment horizontal="right"/>
    </xf>
    <xf numFmtId="0" fontId="0" fillId="0" borderId="4" xfId="0" applyBorder="1" applyAlignment="1">
      <alignment horizontal="center"/>
    </xf>
    <xf numFmtId="0" fontId="15" fillId="0" borderId="0" xfId="0" applyFont="1"/>
    <xf numFmtId="43" fontId="16" fillId="2" borderId="4" xfId="1" applyFont="1" applyFill="1" applyBorder="1" applyAlignment="1"/>
    <xf numFmtId="43" fontId="16" fillId="6" borderId="4" xfId="1" applyFont="1" applyFill="1" applyBorder="1" applyAlignment="1"/>
    <xf numFmtId="43" fontId="17" fillId="9" borderId="4" xfId="1" applyFont="1" applyFill="1" applyBorder="1"/>
    <xf numFmtId="43" fontId="17" fillId="9" borderId="4" xfId="0" applyNumberFormat="1" applyFont="1" applyFill="1" applyBorder="1"/>
    <xf numFmtId="43" fontId="17" fillId="9" borderId="4" xfId="1" applyFont="1" applyFill="1" applyBorder="1" applyAlignment="1">
      <alignment horizontal="right"/>
    </xf>
    <xf numFmtId="43" fontId="17" fillId="6" borderId="0" xfId="0" applyNumberFormat="1" applyFont="1" applyFill="1"/>
    <xf numFmtId="43" fontId="18" fillId="11" borderId="0" xfId="0" applyNumberFormat="1" applyFont="1" applyFill="1"/>
    <xf numFmtId="164" fontId="18" fillId="11" borderId="0" xfId="0" applyNumberFormat="1" applyFont="1" applyFill="1"/>
    <xf numFmtId="0" fontId="17" fillId="6" borderId="0" xfId="0" applyFont="1" applyFill="1"/>
    <xf numFmtId="10" fontId="17" fillId="6" borderId="0" xfId="2" applyNumberFormat="1" applyFont="1" applyFill="1"/>
    <xf numFmtId="10" fontId="17" fillId="6" borderId="0" xfId="2" applyNumberFormat="1" applyFont="1" applyFill="1" applyAlignment="1">
      <alignment horizontal="right"/>
    </xf>
    <xf numFmtId="0" fontId="0" fillId="12" borderId="4" xfId="0" applyFill="1" applyBorder="1"/>
    <xf numFmtId="0" fontId="16" fillId="0" borderId="7" xfId="0" applyFont="1" applyBorder="1" applyAlignment="1">
      <alignment wrapText="1"/>
    </xf>
    <xf numFmtId="0" fontId="2" fillId="0" borderId="5" xfId="0" applyFont="1" applyBorder="1" applyAlignment="1">
      <alignment vertical="center"/>
    </xf>
    <xf numFmtId="0" fontId="16" fillId="0" borderId="4" xfId="0" applyFont="1" applyBorder="1" applyAlignment="1">
      <alignment horizontal="right" vertical="center"/>
    </xf>
    <xf numFmtId="0" fontId="0" fillId="0" borderId="6" xfId="0" applyBorder="1"/>
    <xf numFmtId="2" fontId="0" fillId="2" borderId="4" xfId="0" applyNumberFormat="1" applyFill="1" applyBorder="1"/>
    <xf numFmtId="2" fontId="0" fillId="0" borderId="4" xfId="0" applyNumberFormat="1" applyBorder="1"/>
    <xf numFmtId="4" fontId="0" fillId="0" borderId="4" xfId="0" applyNumberFormat="1" applyBorder="1"/>
    <xf numFmtId="43" fontId="0" fillId="0" borderId="0" xfId="1" applyFont="1" applyBorder="1"/>
    <xf numFmtId="0" fontId="0" fillId="0" borderId="6" xfId="0" applyBorder="1" applyAlignment="1">
      <alignment horizontal="center"/>
    </xf>
    <xf numFmtId="0" fontId="0" fillId="0" borderId="7" xfId="0" applyBorder="1" applyAlignment="1">
      <alignment horizontal="center"/>
    </xf>
    <xf numFmtId="0" fontId="0" fillId="0" borderId="5" xfId="0" applyBorder="1" applyAlignment="1">
      <alignment horizontal="left"/>
    </xf>
    <xf numFmtId="0" fontId="0" fillId="0" borderId="4" xfId="0" applyBorder="1" applyAlignment="1">
      <alignment horizontal="left"/>
    </xf>
    <xf numFmtId="0" fontId="10" fillId="0" borderId="0" xfId="0" applyFont="1"/>
    <xf numFmtId="0" fontId="0" fillId="16" borderId="0" xfId="0" applyFill="1" applyAlignment="1" applyProtection="1">
      <alignment horizontal="center" vertical="center"/>
      <protection hidden="1"/>
    </xf>
    <xf numFmtId="0" fontId="17" fillId="8" borderId="4" xfId="0" applyFont="1" applyFill="1" applyBorder="1" applyAlignment="1" applyProtection="1">
      <alignment horizontal="center" vertical="center" wrapText="1"/>
      <protection hidden="1"/>
    </xf>
    <xf numFmtId="0" fontId="17" fillId="8" borderId="4" xfId="0" applyFont="1" applyFill="1" applyBorder="1" applyAlignment="1">
      <alignment horizontal="center" vertical="top" wrapText="1"/>
    </xf>
    <xf numFmtId="0" fontId="17" fillId="8" borderId="4" xfId="0" applyFont="1" applyFill="1" applyBorder="1" applyAlignment="1">
      <alignment vertical="top" wrapText="1"/>
    </xf>
    <xf numFmtId="0" fontId="17" fillId="8" borderId="4" xfId="0" applyFont="1" applyFill="1" applyBorder="1" applyAlignment="1">
      <alignment wrapText="1"/>
    </xf>
    <xf numFmtId="0" fontId="0" fillId="0" borderId="4" xfId="0" applyBorder="1" applyAlignment="1">
      <alignment horizontal="right"/>
    </xf>
    <xf numFmtId="43" fontId="0" fillId="0" borderId="0" xfId="1" applyFont="1" applyFill="1" applyBorder="1"/>
    <xf numFmtId="0" fontId="0" fillId="0" borderId="4" xfId="0" applyBorder="1" applyAlignment="1">
      <alignment horizontal="right" vertical="center"/>
    </xf>
    <xf numFmtId="0" fontId="0" fillId="15" borderId="0" xfId="0" applyFill="1" applyAlignment="1">
      <alignment horizontal="right"/>
    </xf>
    <xf numFmtId="0" fontId="0" fillId="17" borderId="4" xfId="0" applyFill="1" applyBorder="1" applyAlignment="1">
      <alignment horizontal="right" vertical="center"/>
    </xf>
    <xf numFmtId="0" fontId="0" fillId="18" borderId="4" xfId="0" applyFill="1" applyBorder="1"/>
    <xf numFmtId="0" fontId="17" fillId="18" borderId="0" xfId="0" applyFont="1" applyFill="1"/>
    <xf numFmtId="0" fontId="14" fillId="4" borderId="4" xfId="0" applyFont="1" applyFill="1" applyBorder="1" applyAlignment="1">
      <alignment horizontal="center" vertical="center"/>
    </xf>
    <xf numFmtId="43" fontId="10" fillId="0" borderId="0" xfId="1" applyFont="1" applyFill="1" applyBorder="1"/>
    <xf numFmtId="0" fontId="0" fillId="0" borderId="0" xfId="0" applyAlignment="1" applyProtection="1">
      <alignment horizontal="center" vertical="center"/>
      <protection hidden="1"/>
    </xf>
    <xf numFmtId="0" fontId="17" fillId="8" borderId="5" xfId="0" applyFont="1" applyFill="1" applyBorder="1" applyAlignment="1">
      <alignment horizontal="center" vertical="top" wrapText="1"/>
    </xf>
    <xf numFmtId="0" fontId="0" fillId="0" borderId="13" xfId="0" applyBorder="1"/>
    <xf numFmtId="43" fontId="0" fillId="0" borderId="13" xfId="1" applyFont="1" applyBorder="1"/>
    <xf numFmtId="0" fontId="0" fillId="0" borderId="21" xfId="0" applyBorder="1"/>
    <xf numFmtId="2" fontId="0" fillId="0" borderId="4" xfId="0" applyNumberFormat="1" applyBorder="1" applyAlignment="1">
      <alignment horizontal="right"/>
    </xf>
    <xf numFmtId="2" fontId="0" fillId="2" borderId="4" xfId="1" applyNumberFormat="1" applyFont="1" applyFill="1" applyBorder="1"/>
    <xf numFmtId="0" fontId="0" fillId="20" borderId="4" xfId="0" applyFill="1" applyBorder="1"/>
    <xf numFmtId="43" fontId="0" fillId="0" borderId="21" xfId="1" applyFont="1" applyBorder="1"/>
    <xf numFmtId="0" fontId="0" fillId="10" borderId="0" xfId="0" applyFill="1"/>
    <xf numFmtId="2" fontId="0" fillId="20" borderId="4" xfId="0" applyNumberFormat="1" applyFill="1" applyBorder="1" applyAlignment="1">
      <alignment horizontal="right"/>
    </xf>
    <xf numFmtId="2" fontId="0" fillId="20" borderId="4" xfId="1" applyNumberFormat="1" applyFont="1" applyFill="1" applyBorder="1" applyAlignment="1">
      <alignment horizontal="right"/>
    </xf>
    <xf numFmtId="2" fontId="0" fillId="2" borderId="4" xfId="0" applyNumberFormat="1" applyFill="1" applyBorder="1" applyAlignment="1">
      <alignment horizontal="right"/>
    </xf>
    <xf numFmtId="43" fontId="0" fillId="2" borderId="4" xfId="1" applyFont="1" applyFill="1" applyBorder="1" applyAlignment="1">
      <alignment horizontal="left"/>
    </xf>
    <xf numFmtId="0" fontId="0" fillId="12" borderId="0" xfId="0" applyFill="1" applyAlignment="1">
      <alignment horizontal="right"/>
    </xf>
    <xf numFmtId="0" fontId="0" fillId="18" borderId="0" xfId="0" applyFill="1"/>
    <xf numFmtId="0" fontId="20" fillId="0" borderId="0" xfId="0" applyFont="1" applyAlignment="1">
      <alignment horizontal="left"/>
    </xf>
    <xf numFmtId="0" fontId="17" fillId="8" borderId="4" xfId="0" applyFont="1" applyFill="1" applyBorder="1"/>
    <xf numFmtId="0" fontId="17" fillId="8" borderId="12" xfId="0" applyFont="1" applyFill="1" applyBorder="1" applyAlignment="1" applyProtection="1">
      <alignment horizontal="center" vertical="center" wrapText="1"/>
      <protection hidden="1"/>
    </xf>
    <xf numFmtId="0" fontId="17" fillId="8" borderId="12" xfId="0" applyFont="1" applyFill="1" applyBorder="1" applyAlignment="1">
      <alignment horizontal="center" vertical="top" wrapText="1"/>
    </xf>
    <xf numFmtId="0" fontId="17" fillId="8" borderId="17" xfId="0" applyFont="1" applyFill="1" applyBorder="1" applyAlignment="1">
      <alignment wrapText="1"/>
    </xf>
    <xf numFmtId="0" fontId="17" fillId="8" borderId="12" xfId="0" applyFont="1" applyFill="1" applyBorder="1" applyAlignment="1">
      <alignment wrapText="1"/>
    </xf>
    <xf numFmtId="0" fontId="17" fillId="19" borderId="1" xfId="0" applyFont="1" applyFill="1" applyBorder="1" applyAlignment="1" applyProtection="1">
      <alignment horizontal="center" vertical="center" wrapText="1"/>
      <protection hidden="1"/>
    </xf>
    <xf numFmtId="0" fontId="17" fillId="19" borderId="2" xfId="0" applyFont="1" applyFill="1" applyBorder="1" applyAlignment="1" applyProtection="1">
      <alignment horizontal="center" vertical="center" wrapText="1"/>
      <protection hidden="1"/>
    </xf>
    <xf numFmtId="0" fontId="0" fillId="8" borderId="12" xfId="0" applyFill="1" applyBorder="1"/>
    <xf numFmtId="0" fontId="17" fillId="0" borderId="0" xfId="0" applyFont="1" applyAlignment="1">
      <alignment wrapText="1"/>
    </xf>
    <xf numFmtId="0" fontId="17" fillId="19" borderId="2" xfId="0" applyFont="1" applyFill="1" applyBorder="1" applyAlignment="1">
      <alignment horizontal="center" vertical="center"/>
    </xf>
    <xf numFmtId="0" fontId="17" fillId="18" borderId="2" xfId="0" applyFont="1" applyFill="1" applyBorder="1" applyAlignment="1">
      <alignment horizontal="center" vertical="center"/>
    </xf>
    <xf numFmtId="0" fontId="17" fillId="18" borderId="3" xfId="0" applyFont="1" applyFill="1" applyBorder="1" applyAlignment="1">
      <alignment horizontal="center" vertical="center"/>
    </xf>
    <xf numFmtId="0" fontId="0" fillId="18" borderId="1" xfId="0" applyFill="1" applyBorder="1" applyAlignment="1">
      <alignment vertical="center"/>
    </xf>
    <xf numFmtId="0" fontId="0" fillId="18" borderId="2" xfId="0" applyFill="1" applyBorder="1" applyAlignment="1">
      <alignment vertical="center"/>
    </xf>
    <xf numFmtId="0" fontId="17" fillId="19" borderId="2" xfId="0" applyFont="1" applyFill="1" applyBorder="1" applyAlignment="1">
      <alignment vertical="center" wrapText="1"/>
    </xf>
    <xf numFmtId="0" fontId="17" fillId="19" borderId="3" xfId="0" applyFont="1" applyFill="1" applyBorder="1" applyAlignment="1">
      <alignment vertical="center" wrapText="1"/>
    </xf>
    <xf numFmtId="0" fontId="0" fillId="18" borderId="1" xfId="0" applyFill="1" applyBorder="1" applyAlignment="1">
      <alignment horizontal="center" vertical="center"/>
    </xf>
    <xf numFmtId="0" fontId="0" fillId="18" borderId="2" xfId="0" applyFill="1" applyBorder="1" applyAlignment="1">
      <alignment horizontal="center" vertical="center"/>
    </xf>
    <xf numFmtId="0" fontId="0" fillId="21" borderId="22" xfId="0" applyFill="1" applyBorder="1" applyAlignment="1">
      <alignment horizontal="center" vertical="center"/>
    </xf>
    <xf numFmtId="0" fontId="0" fillId="18" borderId="3" xfId="0" applyFill="1" applyBorder="1" applyAlignment="1">
      <alignment horizontal="center" vertical="center"/>
    </xf>
    <xf numFmtId="0" fontId="13" fillId="2" borderId="4" xfId="0" applyFont="1" applyFill="1" applyBorder="1"/>
    <xf numFmtId="2" fontId="13" fillId="2" borderId="4" xfId="0" applyNumberFormat="1" applyFont="1" applyFill="1" applyBorder="1"/>
    <xf numFmtId="43" fontId="13" fillId="2" borderId="4" xfId="1" applyFont="1" applyFill="1" applyBorder="1"/>
    <xf numFmtId="0" fontId="13" fillId="0" borderId="4" xfId="0" applyFont="1" applyBorder="1"/>
    <xf numFmtId="4" fontId="13" fillId="0" borderId="4" xfId="0" applyNumberFormat="1" applyFont="1" applyBorder="1"/>
    <xf numFmtId="43" fontId="13" fillId="0" borderId="4" xfId="1" applyFont="1" applyBorder="1"/>
    <xf numFmtId="2" fontId="13" fillId="0" borderId="4" xfId="0" applyNumberFormat="1" applyFont="1" applyBorder="1"/>
    <xf numFmtId="0" fontId="19" fillId="0" borderId="4" xfId="0" applyFont="1" applyBorder="1"/>
    <xf numFmtId="4" fontId="19" fillId="0" borderId="4" xfId="0" applyNumberFormat="1" applyFont="1" applyBorder="1"/>
    <xf numFmtId="43" fontId="19" fillId="0" borderId="4" xfId="1" applyFont="1" applyBorder="1"/>
    <xf numFmtId="0" fontId="2" fillId="22" borderId="4" xfId="0" applyFont="1" applyFill="1" applyBorder="1" applyAlignment="1">
      <alignment vertical="center"/>
    </xf>
    <xf numFmtId="0" fontId="2" fillId="22" borderId="4" xfId="0" applyFont="1" applyFill="1" applyBorder="1"/>
    <xf numFmtId="0" fontId="16" fillId="22" borderId="4" xfId="0" applyFont="1" applyFill="1" applyBorder="1" applyAlignment="1">
      <alignment horizontal="right" vertical="center"/>
    </xf>
    <xf numFmtId="0" fontId="0" fillId="0" borderId="0" xfId="0"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17" fillId="0" borderId="0" xfId="0" applyFont="1"/>
    <xf numFmtId="0" fontId="17" fillId="0" borderId="5" xfId="0" applyFont="1" applyBorder="1"/>
    <xf numFmtId="0" fontId="0" fillId="23" borderId="0" xfId="0" applyFill="1"/>
    <xf numFmtId="43" fontId="0" fillId="23" borderId="0" xfId="1" applyFont="1" applyFill="1" applyBorder="1"/>
    <xf numFmtId="0" fontId="10" fillId="15" borderId="4" xfId="0" applyFont="1" applyFill="1" applyBorder="1" applyAlignment="1" applyProtection="1">
      <alignment horizontal="center" vertical="center"/>
      <protection hidden="1"/>
    </xf>
    <xf numFmtId="0" fontId="10" fillId="15" borderId="5" xfId="0" applyFont="1" applyFill="1" applyBorder="1" applyProtection="1">
      <protection hidden="1"/>
    </xf>
    <xf numFmtId="0" fontId="0" fillId="23" borderId="4" xfId="0" applyFill="1" applyBorder="1" applyProtection="1">
      <protection hidden="1"/>
    </xf>
    <xf numFmtId="0" fontId="0" fillId="21" borderId="0" xfId="0" applyFill="1"/>
    <xf numFmtId="0" fontId="22" fillId="15" borderId="4" xfId="0" applyFont="1" applyFill="1" applyBorder="1" applyAlignment="1" applyProtection="1">
      <alignment horizontal="center" vertical="center" wrapText="1"/>
      <protection hidden="1"/>
    </xf>
    <xf numFmtId="0" fontId="0" fillId="0" borderId="0" xfId="0" applyAlignment="1" applyProtection="1">
      <alignment horizontal="right" vertical="center" wrapText="1"/>
      <protection hidden="1"/>
    </xf>
    <xf numFmtId="0" fontId="0" fillId="0" borderId="4" xfId="0" applyBorder="1" applyAlignment="1" applyProtection="1">
      <alignment horizontal="center" vertical="center" wrapText="1"/>
      <protection hidden="1"/>
    </xf>
    <xf numFmtId="0" fontId="0" fillId="0" borderId="4" xfId="0" applyBorder="1" applyProtection="1">
      <protection hidden="1"/>
    </xf>
    <xf numFmtId="0" fontId="17" fillId="0" borderId="4" xfId="0" applyFont="1" applyBorder="1" applyAlignment="1" applyProtection="1">
      <alignment horizontal="center" vertical="center" wrapText="1"/>
      <protection hidden="1"/>
    </xf>
    <xf numFmtId="0" fontId="17" fillId="21" borderId="0" xfId="0" applyFont="1" applyFill="1"/>
    <xf numFmtId="0" fontId="17" fillId="0" borderId="4" xfId="0" applyFont="1" applyBorder="1" applyAlignment="1" applyProtection="1">
      <alignment horizontal="right" vertical="center" wrapText="1"/>
      <protection hidden="1"/>
    </xf>
    <xf numFmtId="0" fontId="0" fillId="0" borderId="0" xfId="0" applyProtection="1">
      <protection hidden="1"/>
    </xf>
    <xf numFmtId="0" fontId="0" fillId="0" borderId="4" xfId="0" applyBorder="1" applyAlignment="1" applyProtection="1">
      <alignment horizontal="right" vertical="center" wrapText="1"/>
      <protection hidden="1"/>
    </xf>
    <xf numFmtId="0" fontId="0" fillId="24" borderId="4" xfId="0" applyFill="1" applyBorder="1" applyProtection="1">
      <protection hidden="1"/>
    </xf>
    <xf numFmtId="0" fontId="0" fillId="25" borderId="4" xfId="0" applyFill="1" applyBorder="1" applyProtection="1">
      <protection hidden="1"/>
    </xf>
    <xf numFmtId="0" fontId="0" fillId="25" borderId="4" xfId="0" applyFill="1" applyBorder="1" applyAlignment="1" applyProtection="1">
      <alignment horizontal="center"/>
      <protection hidden="1"/>
    </xf>
    <xf numFmtId="0" fontId="2" fillId="0" borderId="8" xfId="0" applyFont="1" applyBorder="1" applyAlignment="1" applyProtection="1">
      <alignment horizontal="left" vertical="center" wrapText="1"/>
      <protection hidden="1"/>
    </xf>
    <xf numFmtId="0" fontId="0" fillId="4" borderId="0" xfId="0" applyFill="1"/>
    <xf numFmtId="0" fontId="0" fillId="4" borderId="0" xfId="0" applyFill="1" applyAlignment="1">
      <alignment horizontal="left"/>
    </xf>
    <xf numFmtId="0" fontId="0" fillId="4" borderId="0" xfId="0" applyFill="1" applyAlignment="1">
      <alignment horizontal="right"/>
    </xf>
    <xf numFmtId="0" fontId="0" fillId="4" borderId="0" xfId="0" applyFill="1" applyAlignment="1">
      <alignment horizontal="center"/>
    </xf>
    <xf numFmtId="0" fontId="4" fillId="4" borderId="0" xfId="0" applyFont="1" applyFill="1" applyAlignment="1">
      <alignment horizontal="left"/>
    </xf>
    <xf numFmtId="0" fontId="11" fillId="0" borderId="0" xfId="0" applyFont="1"/>
    <xf numFmtId="0" fontId="11" fillId="4" borderId="0" xfId="0" applyFont="1" applyFill="1" applyAlignment="1">
      <alignment horizontal="left"/>
    </xf>
    <xf numFmtId="0" fontId="11" fillId="4" borderId="0" xfId="0" applyFont="1" applyFill="1" applyAlignment="1">
      <alignment horizontal="right"/>
    </xf>
    <xf numFmtId="0" fontId="11" fillId="4" borderId="0" xfId="0" applyFont="1" applyFill="1" applyAlignment="1">
      <alignment horizontal="center"/>
    </xf>
    <xf numFmtId="0" fontId="23" fillId="4" borderId="0" xfId="0" applyFont="1" applyFill="1" applyAlignment="1">
      <alignment horizontal="left"/>
    </xf>
    <xf numFmtId="0" fontId="4" fillId="0" borderId="0" xfId="0" applyFont="1" applyAlignment="1">
      <alignment horizontal="left"/>
    </xf>
    <xf numFmtId="0" fontId="0" fillId="0" borderId="0" xfId="0" applyAlignment="1">
      <alignment horizontal="center" vertical="top" wrapText="1"/>
    </xf>
    <xf numFmtId="0" fontId="0" fillId="0" borderId="0" xfId="0" applyAlignment="1" applyProtection="1">
      <alignment horizontal="center" vertical="center" wrapText="1"/>
      <protection hidden="1"/>
    </xf>
    <xf numFmtId="0" fontId="13" fillId="0" borderId="0" xfId="0" applyFont="1"/>
    <xf numFmtId="4" fontId="13" fillId="0" borderId="0" xfId="0" applyNumberFormat="1" applyFont="1"/>
    <xf numFmtId="43" fontId="13" fillId="0" borderId="0" xfId="1" applyFont="1" applyBorder="1"/>
    <xf numFmtId="2" fontId="0" fillId="12" borderId="4" xfId="0" applyNumberFormat="1" applyFill="1" applyBorder="1"/>
    <xf numFmtId="0" fontId="13" fillId="4" borderId="0" xfId="0" applyFont="1" applyFill="1"/>
    <xf numFmtId="0" fontId="10" fillId="4" borderId="0" xfId="0" applyFont="1" applyFill="1" applyAlignment="1">
      <alignment horizontal="left"/>
    </xf>
    <xf numFmtId="0" fontId="10" fillId="4" borderId="0" xfId="0" applyFont="1" applyFill="1" applyAlignment="1">
      <alignment horizontal="right"/>
    </xf>
    <xf numFmtId="0" fontId="10" fillId="4" borderId="0" xfId="0" applyFont="1" applyFill="1" applyAlignment="1">
      <alignment horizontal="center"/>
    </xf>
    <xf numFmtId="0" fontId="27" fillId="4" borderId="0" xfId="0" applyFont="1" applyFill="1" applyAlignment="1">
      <alignment horizontal="left"/>
    </xf>
    <xf numFmtId="0" fontId="4" fillId="0" borderId="0" xfId="0" applyFont="1"/>
    <xf numFmtId="0" fontId="16" fillId="0" borderId="5" xfId="0" applyFont="1" applyBorder="1" applyAlignment="1">
      <alignment horizontal="right" vertical="center"/>
    </xf>
    <xf numFmtId="0" fontId="25" fillId="0" borderId="0" xfId="0" applyFont="1" applyAlignment="1">
      <alignment vertical="center" wrapText="1"/>
    </xf>
    <xf numFmtId="0" fontId="25" fillId="0" borderId="15" xfId="0" applyFont="1" applyBorder="1" applyAlignment="1">
      <alignment vertical="center" wrapText="1"/>
    </xf>
    <xf numFmtId="43" fontId="13" fillId="0" borderId="0" xfId="1" applyFont="1" applyFill="1" applyBorder="1"/>
    <xf numFmtId="0" fontId="21" fillId="0" borderId="0" xfId="0" applyFont="1" applyAlignment="1">
      <alignment vertical="center" wrapText="1"/>
    </xf>
    <xf numFmtId="0" fontId="16" fillId="0" borderId="0" xfId="0" applyFont="1" applyAlignment="1">
      <alignment horizontal="right" vertical="center"/>
    </xf>
    <xf numFmtId="0" fontId="17" fillId="0" borderId="4" xfId="0" applyFont="1" applyBorder="1" applyAlignment="1">
      <alignment horizontal="right" vertical="center"/>
    </xf>
    <xf numFmtId="0" fontId="17" fillId="8" borderId="4" xfId="0" applyFont="1" applyFill="1" applyBorder="1" applyAlignment="1">
      <alignment horizontal="center" vertical="center" wrapText="1"/>
    </xf>
    <xf numFmtId="0" fontId="17" fillId="0" borderId="0" xfId="0" applyFont="1" applyAlignment="1">
      <alignment horizontal="right" vertical="center"/>
    </xf>
    <xf numFmtId="0" fontId="28" fillId="0" borderId="0" xfId="0" applyFont="1" applyAlignment="1">
      <alignment horizontal="left"/>
    </xf>
    <xf numFmtId="0" fontId="0" fillId="19" borderId="1" xfId="0" applyFill="1" applyBorder="1" applyAlignment="1">
      <alignment vertical="center"/>
    </xf>
    <xf numFmtId="0" fontId="0" fillId="19" borderId="2" xfId="0" applyFill="1" applyBorder="1" applyAlignment="1">
      <alignment vertical="center"/>
    </xf>
    <xf numFmtId="0" fontId="0" fillId="19" borderId="1" xfId="0" applyFill="1" applyBorder="1" applyAlignment="1">
      <alignment horizontal="center" vertical="center"/>
    </xf>
    <xf numFmtId="0" fontId="0" fillId="19" borderId="2" xfId="0" applyFill="1" applyBorder="1" applyAlignment="1">
      <alignment horizontal="center" vertical="center"/>
    </xf>
    <xf numFmtId="0" fontId="17" fillId="18" borderId="0" xfId="0" applyFont="1" applyFill="1" applyAlignment="1">
      <alignment wrapText="1"/>
    </xf>
    <xf numFmtId="0" fontId="0" fillId="0" borderId="4" xfId="0" applyBorder="1" applyAlignment="1">
      <alignment vertical="center"/>
    </xf>
    <xf numFmtId="0" fontId="2" fillId="0" borderId="4" xfId="0" applyFont="1" applyBorder="1" applyAlignment="1">
      <alignment vertical="center"/>
    </xf>
    <xf numFmtId="0" fontId="0" fillId="12" borderId="12" xfId="0" applyFill="1" applyBorder="1"/>
    <xf numFmtId="0" fontId="0" fillId="0" borderId="17" xfId="0" applyBorder="1" applyAlignment="1">
      <alignment horizontal="center"/>
    </xf>
    <xf numFmtId="0" fontId="21" fillId="0" borderId="7" xfId="0" applyFont="1" applyBorder="1" applyAlignment="1">
      <alignment horizontal="left" vertical="center"/>
    </xf>
    <xf numFmtId="0" fontId="26" fillId="0" borderId="0" xfId="0" applyFont="1"/>
    <xf numFmtId="0" fontId="0" fillId="15" borderId="4" xfId="0" applyFill="1" applyBorder="1" applyAlignment="1">
      <alignment horizontal="right"/>
    </xf>
    <xf numFmtId="0" fontId="0" fillId="17" borderId="4" xfId="0" applyFill="1" applyBorder="1" applyAlignment="1">
      <alignment horizontal="right"/>
    </xf>
    <xf numFmtId="43" fontId="2" fillId="0" borderId="0" xfId="1" applyFont="1" applyBorder="1"/>
    <xf numFmtId="0" fontId="2" fillId="20" borderId="0" xfId="0" applyFont="1" applyFill="1"/>
    <xf numFmtId="0" fontId="16" fillId="20" borderId="0" xfId="0" applyFont="1" applyFill="1"/>
    <xf numFmtId="2" fontId="16" fillId="20" borderId="0" xfId="0" applyNumberFormat="1" applyFont="1" applyFill="1"/>
    <xf numFmtId="2" fontId="16" fillId="20" borderId="0" xfId="0" applyNumberFormat="1" applyFont="1" applyFill="1" applyAlignment="1">
      <alignment wrapText="1"/>
    </xf>
    <xf numFmtId="2" fontId="17" fillId="8" borderId="4" xfId="0" applyNumberFormat="1" applyFont="1" applyFill="1" applyBorder="1" applyAlignment="1">
      <alignment wrapText="1"/>
    </xf>
    <xf numFmtId="2" fontId="17" fillId="8" borderId="12" xfId="0" applyNumberFormat="1" applyFont="1" applyFill="1" applyBorder="1" applyAlignment="1">
      <alignment wrapText="1"/>
    </xf>
    <xf numFmtId="2" fontId="17" fillId="8" borderId="4" xfId="0" applyNumberFormat="1" applyFont="1" applyFill="1" applyBorder="1" applyAlignment="1" applyProtection="1">
      <alignment horizontal="center" vertical="center" wrapText="1"/>
      <protection hidden="1"/>
    </xf>
    <xf numFmtId="2" fontId="17" fillId="8" borderId="4" xfId="0" applyNumberFormat="1" applyFont="1" applyFill="1" applyBorder="1" applyAlignment="1">
      <alignment horizontal="center" vertical="top" wrapText="1"/>
    </xf>
    <xf numFmtId="2" fontId="16" fillId="20" borderId="0" xfId="0" applyNumberFormat="1" applyFont="1" applyFill="1" applyAlignment="1" applyProtection="1">
      <alignment horizontal="center" vertical="center" wrapText="1"/>
      <protection hidden="1"/>
    </xf>
    <xf numFmtId="2" fontId="17" fillId="8" borderId="5" xfId="0" applyNumberFormat="1" applyFont="1" applyFill="1" applyBorder="1" applyAlignment="1">
      <alignment horizontal="center" vertical="top" wrapText="1"/>
    </xf>
    <xf numFmtId="2" fontId="17" fillId="8" borderId="4" xfId="0" applyNumberFormat="1" applyFont="1" applyFill="1" applyBorder="1" applyAlignment="1">
      <alignment vertical="top" wrapText="1"/>
    </xf>
    <xf numFmtId="2" fontId="17" fillId="18" borderId="0" xfId="0" applyNumberFormat="1" applyFont="1" applyFill="1"/>
    <xf numFmtId="2" fontId="17" fillId="8" borderId="4" xfId="0" applyNumberFormat="1" applyFont="1" applyFill="1" applyBorder="1" applyAlignment="1">
      <alignment horizontal="center" vertical="center" wrapText="1"/>
    </xf>
    <xf numFmtId="2" fontId="17" fillId="8" borderId="4" xfId="0" applyNumberFormat="1" applyFont="1" applyFill="1" applyBorder="1" applyAlignment="1">
      <alignment horizontal="right" vertical="center"/>
    </xf>
    <xf numFmtId="2" fontId="0" fillId="18" borderId="4" xfId="0" applyNumberFormat="1" applyFill="1" applyBorder="1"/>
    <xf numFmtId="2" fontId="2" fillId="0" borderId="4" xfId="0" applyNumberFormat="1" applyFont="1" applyBorder="1"/>
    <xf numFmtId="2" fontId="17" fillId="8" borderId="12" xfId="0" applyNumberFormat="1" applyFont="1" applyFill="1" applyBorder="1" applyAlignment="1" applyProtection="1">
      <alignment horizontal="center" vertical="center" wrapText="1"/>
      <protection hidden="1"/>
    </xf>
    <xf numFmtId="2" fontId="12" fillId="19" borderId="1" xfId="0" applyNumberFormat="1" applyFont="1" applyFill="1" applyBorder="1" applyAlignment="1" applyProtection="1">
      <alignment horizontal="center" vertical="center" wrapText="1"/>
      <protection hidden="1"/>
    </xf>
    <xf numFmtId="2" fontId="12" fillId="19" borderId="2" xfId="0" applyNumberFormat="1" applyFont="1" applyFill="1" applyBorder="1" applyAlignment="1" applyProtection="1">
      <alignment horizontal="center" vertical="center" wrapText="1"/>
      <protection hidden="1"/>
    </xf>
    <xf numFmtId="2" fontId="12" fillId="19" borderId="2" xfId="0" applyNumberFormat="1" applyFont="1" applyFill="1" applyBorder="1" applyAlignment="1">
      <alignment horizontal="center" vertical="center"/>
    </xf>
    <xf numFmtId="2" fontId="12" fillId="19" borderId="3" xfId="0" applyNumberFormat="1" applyFont="1" applyFill="1" applyBorder="1" applyAlignment="1">
      <alignment horizontal="center" vertical="center"/>
    </xf>
    <xf numFmtId="2" fontId="12" fillId="8" borderId="5" xfId="0" applyNumberFormat="1" applyFont="1" applyFill="1" applyBorder="1" applyAlignment="1">
      <alignment horizontal="center" vertical="top" wrapText="1"/>
    </xf>
    <xf numFmtId="2" fontId="12" fillId="8" borderId="4" xfId="0" applyNumberFormat="1" applyFont="1" applyFill="1" applyBorder="1" applyAlignment="1">
      <alignment vertical="top" wrapText="1"/>
    </xf>
    <xf numFmtId="2" fontId="12" fillId="8" borderId="12" xfId="0" applyNumberFormat="1" applyFont="1" applyFill="1" applyBorder="1" applyAlignment="1">
      <alignment horizontal="center" vertical="top" wrapText="1"/>
    </xf>
    <xf numFmtId="2" fontId="0" fillId="19" borderId="3" xfId="0" applyNumberFormat="1" applyFill="1" applyBorder="1" applyAlignment="1">
      <alignment horizontal="center" vertical="center"/>
    </xf>
    <xf numFmtId="0" fontId="11" fillId="0" borderId="0" xfId="0" applyFont="1" applyAlignment="1">
      <alignment horizontal="left"/>
    </xf>
    <xf numFmtId="0" fontId="11" fillId="0" borderId="0" xfId="0" applyFont="1" applyAlignment="1">
      <alignment horizontal="right"/>
    </xf>
    <xf numFmtId="0" fontId="11" fillId="0" borderId="0" xfId="0" applyFont="1" applyAlignment="1">
      <alignment horizontal="center"/>
    </xf>
    <xf numFmtId="0" fontId="23" fillId="0" borderId="0" xfId="0" applyFont="1" applyAlignment="1">
      <alignment horizontal="left"/>
    </xf>
    <xf numFmtId="43" fontId="11" fillId="4" borderId="0" xfId="1" applyFont="1" applyFill="1" applyBorder="1"/>
    <xf numFmtId="0" fontId="10" fillId="4" borderId="21" xfId="0" applyFont="1" applyFill="1" applyBorder="1"/>
    <xf numFmtId="0" fontId="0" fillId="4" borderId="21" xfId="0" applyFill="1" applyBorder="1"/>
    <xf numFmtId="43" fontId="0" fillId="4" borderId="21" xfId="1" applyFont="1" applyFill="1" applyBorder="1"/>
    <xf numFmtId="0" fontId="0" fillId="10" borderId="4" xfId="0" applyFill="1" applyBorder="1"/>
    <xf numFmtId="2" fontId="0" fillId="10" borderId="4" xfId="0" applyNumberFormat="1" applyFill="1" applyBorder="1" applyAlignment="1">
      <alignment horizontal="right"/>
    </xf>
    <xf numFmtId="2" fontId="0" fillId="10" borderId="4" xfId="1" applyNumberFormat="1" applyFont="1" applyFill="1" applyBorder="1" applyAlignment="1">
      <alignment horizontal="right"/>
    </xf>
    <xf numFmtId="0" fontId="26" fillId="6" borderId="0" xfId="0" applyFont="1" applyFill="1" applyAlignment="1">
      <alignment horizontal="right"/>
    </xf>
    <xf numFmtId="0" fontId="29" fillId="6" borderId="4" xfId="0" applyFont="1" applyFill="1" applyBorder="1" applyAlignment="1">
      <alignment horizontal="center"/>
    </xf>
    <xf numFmtId="43" fontId="29" fillId="6" borderId="4" xfId="1" applyFont="1" applyFill="1" applyBorder="1"/>
    <xf numFmtId="0" fontId="26" fillId="6" borderId="4" xfId="0" applyFont="1" applyFill="1" applyBorder="1" applyAlignment="1">
      <alignment horizontal="right"/>
    </xf>
    <xf numFmtId="164" fontId="29" fillId="6" borderId="4" xfId="1" applyNumberFormat="1" applyFont="1" applyFill="1" applyBorder="1" applyAlignment="1">
      <alignment horizontal="center" vertical="center"/>
    </xf>
    <xf numFmtId="0" fontId="0" fillId="6" borderId="5" xfId="0" applyFill="1" applyBorder="1" applyAlignment="1">
      <alignment horizontal="center"/>
    </xf>
    <xf numFmtId="0" fontId="2" fillId="10" borderId="4" xfId="0" applyFont="1" applyFill="1" applyBorder="1" applyAlignment="1">
      <alignment horizontal="center" vertical="center"/>
    </xf>
    <xf numFmtId="0" fontId="0" fillId="2" borderId="12" xfId="0" applyFill="1" applyBorder="1" applyAlignment="1">
      <alignment horizontal="center" vertical="center"/>
    </xf>
    <xf numFmtId="0" fontId="2" fillId="10" borderId="5" xfId="0" applyFont="1" applyFill="1" applyBorder="1" applyAlignment="1">
      <alignment horizontal="center" vertical="center"/>
    </xf>
    <xf numFmtId="43" fontId="0" fillId="26" borderId="7" xfId="0" applyNumberFormat="1" applyFill="1" applyBorder="1" applyAlignment="1">
      <alignment horizontal="right"/>
    </xf>
    <xf numFmtId="0" fontId="2" fillId="2" borderId="12" xfId="0" applyFont="1" applyFill="1" applyBorder="1" applyAlignment="1">
      <alignment horizontal="right"/>
    </xf>
    <xf numFmtId="0" fontId="2" fillId="6" borderId="12" xfId="0" applyFont="1" applyFill="1" applyBorder="1" applyAlignment="1">
      <alignment horizontal="right"/>
    </xf>
    <xf numFmtId="43" fontId="16" fillId="2" borderId="17" xfId="1" applyFont="1" applyFill="1" applyBorder="1" applyAlignment="1"/>
    <xf numFmtId="43" fontId="16" fillId="14" borderId="17" xfId="1" applyFont="1" applyFill="1" applyBorder="1" applyAlignment="1"/>
    <xf numFmtId="43" fontId="2" fillId="6" borderId="17" xfId="1" applyFont="1" applyFill="1" applyBorder="1" applyAlignment="1"/>
    <xf numFmtId="165" fontId="0" fillId="2" borderId="17" xfId="0" applyNumberFormat="1" applyFill="1" applyBorder="1"/>
    <xf numFmtId="165" fontId="0" fillId="6" borderId="17" xfId="0" applyNumberFormat="1" applyFill="1" applyBorder="1"/>
    <xf numFmtId="0" fontId="2" fillId="2" borderId="12" xfId="0" applyFont="1" applyFill="1" applyBorder="1" applyAlignment="1">
      <alignment horizontal="center" vertical="center"/>
    </xf>
    <xf numFmtId="0" fontId="2" fillId="6" borderId="12" xfId="0" applyFont="1" applyFill="1" applyBorder="1" applyAlignment="1">
      <alignment horizontal="center" vertical="center"/>
    </xf>
    <xf numFmtId="164" fontId="2" fillId="2" borderId="17" xfId="0" applyNumberFormat="1" applyFont="1" applyFill="1" applyBorder="1"/>
    <xf numFmtId="164" fontId="2" fillId="6" borderId="17" xfId="0" applyNumberFormat="1" applyFont="1" applyFill="1" applyBorder="1"/>
    <xf numFmtId="43" fontId="2" fillId="6" borderId="17" xfId="0" applyNumberFormat="1" applyFont="1" applyFill="1" applyBorder="1"/>
    <xf numFmtId="1" fontId="2" fillId="6" borderId="17" xfId="0" applyNumberFormat="1" applyFont="1" applyFill="1" applyBorder="1"/>
    <xf numFmtId="2" fontId="2" fillId="2" borderId="12" xfId="0" applyNumberFormat="1" applyFont="1" applyFill="1" applyBorder="1"/>
    <xf numFmtId="2" fontId="2" fillId="6" borderId="12" xfId="0" applyNumberFormat="1" applyFont="1" applyFill="1" applyBorder="1"/>
    <xf numFmtId="0" fontId="2" fillId="2" borderId="17" xfId="0" applyFont="1" applyFill="1" applyBorder="1"/>
    <xf numFmtId="0" fontId="2" fillId="3" borderId="17" xfId="0" applyFont="1" applyFill="1" applyBorder="1"/>
    <xf numFmtId="0" fontId="2" fillId="6" borderId="17" xfId="0" applyFont="1" applyFill="1" applyBorder="1"/>
    <xf numFmtId="0" fontId="2" fillId="0" borderId="12" xfId="0" applyFont="1" applyBorder="1" applyAlignment="1">
      <alignment horizontal="right"/>
    </xf>
    <xf numFmtId="2" fontId="2" fillId="0" borderId="12" xfId="0" applyNumberFormat="1" applyFont="1" applyBorder="1"/>
    <xf numFmtId="165" fontId="0" fillId="0" borderId="17" xfId="0" applyNumberFormat="1" applyBorder="1"/>
    <xf numFmtId="0" fontId="2" fillId="22" borderId="12" xfId="0" applyFont="1" applyFill="1" applyBorder="1"/>
    <xf numFmtId="0" fontId="16" fillId="22" borderId="12" xfId="0" applyFont="1" applyFill="1" applyBorder="1" applyAlignment="1">
      <alignment horizontal="right" vertical="center"/>
    </xf>
    <xf numFmtId="0" fontId="0" fillId="0" borderId="17" xfId="0" applyBorder="1" applyAlignment="1">
      <alignment vertical="center"/>
    </xf>
    <xf numFmtId="0" fontId="0" fillId="0" borderId="10" xfId="0" applyBorder="1" applyAlignment="1">
      <alignment vertical="center"/>
    </xf>
    <xf numFmtId="0" fontId="0" fillId="0" borderId="16" xfId="0" applyBorder="1" applyAlignment="1">
      <alignment vertical="center"/>
    </xf>
    <xf numFmtId="0" fontId="21" fillId="0" borderId="11" xfId="0" applyFont="1" applyBorder="1" applyAlignment="1">
      <alignment horizontal="left" vertical="center"/>
    </xf>
    <xf numFmtId="0" fontId="2" fillId="0" borderId="8" xfId="0" applyFont="1" applyBorder="1"/>
    <xf numFmtId="0" fontId="16" fillId="22" borderId="18" xfId="0" applyFont="1" applyFill="1" applyBorder="1" applyAlignment="1">
      <alignment horizontal="right" vertical="center"/>
    </xf>
    <xf numFmtId="0" fontId="0" fillId="2" borderId="0" xfId="0" applyFill="1"/>
    <xf numFmtId="0" fontId="13" fillId="0" borderId="0" xfId="0" applyFont="1" applyAlignment="1">
      <alignment horizontal="left"/>
    </xf>
    <xf numFmtId="0" fontId="2" fillId="0" borderId="0" xfId="0" applyFont="1" applyProtection="1">
      <protection locked="0"/>
    </xf>
    <xf numFmtId="0" fontId="0" fillId="0" borderId="0" xfId="0" applyProtection="1">
      <protection locked="0"/>
    </xf>
    <xf numFmtId="0" fontId="0" fillId="0" borderId="7" xfId="0" applyBorder="1" applyProtection="1">
      <protection locked="0"/>
    </xf>
    <xf numFmtId="0" fontId="0" fillId="0" borderId="4" xfId="0" applyBorder="1" applyProtection="1">
      <protection locked="0"/>
    </xf>
    <xf numFmtId="0" fontId="0" fillId="0" borderId="5" xfId="0" applyBorder="1" applyAlignment="1" applyProtection="1">
      <alignment horizontal="center"/>
      <protection locked="0"/>
    </xf>
    <xf numFmtId="0" fontId="0" fillId="0" borderId="4" xfId="0" applyBorder="1" applyAlignment="1" applyProtection="1">
      <alignment horizontal="center"/>
      <protection locked="0"/>
    </xf>
    <xf numFmtId="0" fontId="13" fillId="0" borderId="0" xfId="0" applyFont="1" applyProtection="1">
      <protection locked="0"/>
    </xf>
    <xf numFmtId="4" fontId="13" fillId="0" borderId="0" xfId="0" applyNumberFormat="1" applyFont="1" applyProtection="1">
      <protection locked="0"/>
    </xf>
    <xf numFmtId="43" fontId="13" fillId="0" borderId="0" xfId="1" applyFont="1" applyBorder="1" applyProtection="1">
      <protection locked="0"/>
    </xf>
    <xf numFmtId="0" fontId="0" fillId="0" borderId="5" xfId="0" applyBorder="1" applyProtection="1">
      <protection locked="0"/>
    </xf>
    <xf numFmtId="2" fontId="0" fillId="0" borderId="33" xfId="0" applyNumberFormat="1" applyBorder="1" applyProtection="1">
      <protection locked="0"/>
    </xf>
    <xf numFmtId="0" fontId="0" fillId="0" borderId="35" xfId="0" applyBorder="1" applyProtection="1">
      <protection locked="0"/>
    </xf>
    <xf numFmtId="0" fontId="0" fillId="0" borderId="36" xfId="0" applyBorder="1" applyProtection="1">
      <protection locked="0"/>
    </xf>
    <xf numFmtId="2" fontId="0" fillId="0" borderId="37" xfId="0" applyNumberFormat="1" applyBorder="1" applyProtection="1">
      <protection locked="0"/>
    </xf>
    <xf numFmtId="0" fontId="0" fillId="0" borderId="38" xfId="0" applyBorder="1" applyProtection="1">
      <protection locked="0"/>
    </xf>
    <xf numFmtId="0" fontId="2" fillId="2" borderId="33" xfId="0" applyFont="1" applyFill="1" applyBorder="1" applyAlignment="1" applyProtection="1">
      <alignment horizontal="right"/>
      <protection locked="0"/>
    </xf>
    <xf numFmtId="0" fontId="2" fillId="0" borderId="35" xfId="0" applyFont="1" applyBorder="1" applyAlignment="1" applyProtection="1">
      <alignment horizontal="right"/>
      <protection locked="0"/>
    </xf>
    <xf numFmtId="0" fontId="2" fillId="0" borderId="36" xfId="0" applyFont="1" applyBorder="1" applyAlignment="1" applyProtection="1">
      <alignment horizontal="right"/>
      <protection locked="0"/>
    </xf>
    <xf numFmtId="0" fontId="0" fillId="0" borderId="40" xfId="0" applyBorder="1" applyProtection="1">
      <protection locked="0"/>
    </xf>
    <xf numFmtId="0" fontId="0" fillId="0" borderId="41" xfId="0" applyBorder="1" applyProtection="1">
      <protection locked="0"/>
    </xf>
    <xf numFmtId="0" fontId="0" fillId="0" borderId="42" xfId="0" applyBorder="1" applyProtection="1">
      <protection locked="0"/>
    </xf>
    <xf numFmtId="2" fontId="13" fillId="0" borderId="15" xfId="0" applyNumberFormat="1" applyFont="1" applyBorder="1"/>
    <xf numFmtId="2" fontId="13" fillId="0" borderId="0" xfId="0" applyNumberFormat="1" applyFont="1"/>
    <xf numFmtId="4" fontId="15" fillId="0" borderId="15" xfId="0" applyNumberFormat="1" applyFont="1" applyBorder="1"/>
    <xf numFmtId="43" fontId="15" fillId="0" borderId="0" xfId="1" applyFont="1" applyFill="1" applyBorder="1" applyProtection="1"/>
    <xf numFmtId="4" fontId="24" fillId="0" borderId="15" xfId="0" applyNumberFormat="1" applyFont="1" applyBorder="1"/>
    <xf numFmtId="43" fontId="24" fillId="0" borderId="0" xfId="1" applyFont="1" applyFill="1" applyBorder="1" applyProtection="1"/>
    <xf numFmtId="43" fontId="13" fillId="0" borderId="0" xfId="1" applyFont="1" applyBorder="1" applyProtection="1"/>
    <xf numFmtId="0" fontId="0" fillId="8" borderId="4" xfId="0" applyFill="1" applyBorder="1" applyAlignment="1">
      <alignment horizontal="left"/>
    </xf>
    <xf numFmtId="0" fontId="0" fillId="8" borderId="5" xfId="0" applyFill="1" applyBorder="1" applyAlignment="1">
      <alignment horizontal="center"/>
    </xf>
    <xf numFmtId="0" fontId="0" fillId="8" borderId="41" xfId="0" applyFill="1" applyBorder="1"/>
    <xf numFmtId="0" fontId="0" fillId="8" borderId="42" xfId="0" applyFill="1" applyBorder="1"/>
    <xf numFmtId="0" fontId="0" fillId="8" borderId="39" xfId="0" applyFill="1" applyBorder="1"/>
    <xf numFmtId="0" fontId="0" fillId="8" borderId="40" xfId="0" applyFill="1" applyBorder="1"/>
    <xf numFmtId="0" fontId="13" fillId="6" borderId="4" xfId="0" applyFont="1" applyFill="1" applyBorder="1"/>
    <xf numFmtId="0" fontId="0" fillId="10" borderId="37" xfId="0" applyFill="1" applyBorder="1" applyProtection="1">
      <protection locked="0"/>
    </xf>
    <xf numFmtId="0" fontId="0" fillId="10" borderId="39" xfId="0" applyFill="1" applyBorder="1" applyProtection="1">
      <protection locked="0"/>
    </xf>
    <xf numFmtId="0" fontId="0" fillId="6" borderId="4" xfId="0" applyFill="1" applyBorder="1"/>
    <xf numFmtId="0" fontId="2" fillId="8" borderId="5" xfId="0" applyFont="1" applyFill="1" applyBorder="1" applyProtection="1">
      <protection locked="0"/>
    </xf>
    <xf numFmtId="0" fontId="0" fillId="8" borderId="39" xfId="0" applyFill="1" applyBorder="1" applyProtection="1">
      <protection locked="0"/>
    </xf>
    <xf numFmtId="0" fontId="0" fillId="8" borderId="41" xfId="0" applyFill="1" applyBorder="1" applyProtection="1">
      <protection locked="0"/>
    </xf>
    <xf numFmtId="0" fontId="0" fillId="8" borderId="42" xfId="0" applyFill="1" applyBorder="1" applyProtection="1">
      <protection locked="0"/>
    </xf>
    <xf numFmtId="0" fontId="0" fillId="10" borderId="51" xfId="0" applyFill="1" applyBorder="1" applyProtection="1">
      <protection locked="0"/>
    </xf>
    <xf numFmtId="0" fontId="0" fillId="10" borderId="52" xfId="0" applyFill="1" applyBorder="1" applyProtection="1">
      <protection locked="0"/>
    </xf>
    <xf numFmtId="0" fontId="12" fillId="0" borderId="0" xfId="0" applyFont="1" applyAlignment="1">
      <alignment horizontal="center"/>
    </xf>
    <xf numFmtId="0" fontId="0" fillId="3" borderId="4" xfId="0" applyFill="1" applyBorder="1" applyAlignment="1" applyProtection="1">
      <alignment horizontal="center"/>
      <protection locked="0"/>
    </xf>
    <xf numFmtId="0" fontId="0" fillId="3" borderId="4" xfId="0" applyFill="1" applyBorder="1" applyAlignment="1" applyProtection="1">
      <alignment horizontal="left"/>
      <protection locked="0"/>
    </xf>
    <xf numFmtId="0" fontId="0" fillId="6" borderId="5" xfId="0" applyFill="1" applyBorder="1" applyAlignment="1" applyProtection="1">
      <alignment horizontal="center"/>
      <protection locked="0"/>
    </xf>
    <xf numFmtId="0" fontId="0" fillId="10" borderId="33" xfId="0" applyFill="1" applyBorder="1" applyProtection="1">
      <protection locked="0"/>
    </xf>
    <xf numFmtId="0" fontId="0" fillId="8" borderId="4" xfId="0" applyFill="1" applyBorder="1" applyAlignment="1" applyProtection="1">
      <alignment horizontal="left"/>
      <protection locked="0"/>
    </xf>
    <xf numFmtId="0" fontId="0" fillId="8" borderId="5" xfId="0" applyFill="1" applyBorder="1" applyAlignment="1" applyProtection="1">
      <alignment horizontal="center"/>
      <protection locked="0"/>
    </xf>
    <xf numFmtId="164" fontId="0" fillId="0" borderId="35" xfId="1" applyNumberFormat="1" applyFont="1" applyBorder="1" applyAlignment="1" applyProtection="1">
      <protection locked="0"/>
    </xf>
    <xf numFmtId="164" fontId="0" fillId="0" borderId="4" xfId="1" applyNumberFormat="1" applyFont="1" applyBorder="1" applyAlignment="1" applyProtection="1">
      <protection locked="0"/>
    </xf>
    <xf numFmtId="164" fontId="0" fillId="10" borderId="37" xfId="1" applyNumberFormat="1" applyFont="1" applyFill="1" applyBorder="1" applyAlignment="1" applyProtection="1">
      <protection locked="0"/>
    </xf>
    <xf numFmtId="164" fontId="0" fillId="0" borderId="7" xfId="1" applyNumberFormat="1" applyFont="1" applyBorder="1" applyAlignment="1" applyProtection="1">
      <protection locked="0"/>
    </xf>
    <xf numFmtId="164" fontId="0" fillId="8" borderId="39" xfId="1" applyNumberFormat="1" applyFont="1" applyFill="1" applyBorder="1" applyAlignment="1" applyProtection="1">
      <protection locked="0"/>
    </xf>
    <xf numFmtId="164" fontId="0" fillId="8" borderId="40" xfId="1" applyNumberFormat="1" applyFont="1" applyFill="1" applyBorder="1" applyAlignment="1" applyProtection="1">
      <protection locked="0"/>
    </xf>
    <xf numFmtId="164" fontId="0" fillId="8" borderId="41" xfId="1" applyNumberFormat="1" applyFont="1" applyFill="1" applyBorder="1" applyAlignment="1" applyProtection="1">
      <protection locked="0"/>
    </xf>
    <xf numFmtId="3" fontId="0" fillId="0" borderId="34" xfId="0" applyNumberFormat="1" applyBorder="1" applyProtection="1">
      <protection locked="0"/>
    </xf>
    <xf numFmtId="0" fontId="0" fillId="10" borderId="43" xfId="0" applyFill="1" applyBorder="1" applyProtection="1">
      <protection locked="0"/>
    </xf>
    <xf numFmtId="0" fontId="0" fillId="0" borderId="44" xfId="0" applyBorder="1" applyProtection="1">
      <protection locked="0"/>
    </xf>
    <xf numFmtId="0" fontId="0" fillId="0" borderId="45" xfId="0" applyBorder="1" applyProtection="1">
      <protection locked="0"/>
    </xf>
    <xf numFmtId="0" fontId="2" fillId="2" borderId="4" xfId="0" applyFont="1" applyFill="1" applyBorder="1" applyAlignment="1" applyProtection="1">
      <alignment horizontal="center"/>
      <protection locked="0"/>
    </xf>
    <xf numFmtId="0" fontId="0" fillId="2" borderId="5" xfId="0" applyFill="1" applyBorder="1" applyAlignment="1" applyProtection="1">
      <alignment horizontal="center"/>
      <protection locked="0"/>
    </xf>
    <xf numFmtId="0" fontId="13" fillId="10" borderId="33" xfId="0" applyFont="1" applyFill="1" applyBorder="1" applyProtection="1">
      <protection locked="0"/>
    </xf>
    <xf numFmtId="0" fontId="13" fillId="0" borderId="37" xfId="0" applyFont="1" applyBorder="1" applyProtection="1">
      <protection locked="0"/>
    </xf>
    <xf numFmtId="0" fontId="13" fillId="0" borderId="7" xfId="0" applyFont="1" applyBorder="1" applyProtection="1">
      <protection locked="0"/>
    </xf>
    <xf numFmtId="0" fontId="13" fillId="0" borderId="38" xfId="0" applyFont="1" applyBorder="1" applyProtection="1">
      <protection locked="0"/>
    </xf>
    <xf numFmtId="0" fontId="13" fillId="0" borderId="49" xfId="0" applyFont="1" applyBorder="1" applyProtection="1">
      <protection locked="0"/>
    </xf>
    <xf numFmtId="0" fontId="13" fillId="0" borderId="9" xfId="0" applyFont="1" applyBorder="1" applyProtection="1">
      <protection locked="0"/>
    </xf>
    <xf numFmtId="0" fontId="13" fillId="0" borderId="50" xfId="0" applyFont="1" applyBorder="1" applyProtection="1">
      <protection locked="0"/>
    </xf>
    <xf numFmtId="0" fontId="13" fillId="0" borderId="39" xfId="0" applyFont="1" applyBorder="1" applyProtection="1">
      <protection locked="0"/>
    </xf>
    <xf numFmtId="0" fontId="13" fillId="0" borderId="40" xfId="0" applyFont="1" applyBorder="1" applyProtection="1">
      <protection locked="0"/>
    </xf>
    <xf numFmtId="0" fontId="13" fillId="0" borderId="42" xfId="0" applyFont="1" applyBorder="1" applyProtection="1">
      <protection locked="0"/>
    </xf>
    <xf numFmtId="0" fontId="2" fillId="0" borderId="4" xfId="0" applyFont="1" applyBorder="1" applyAlignment="1">
      <alignment horizontal="center"/>
    </xf>
    <xf numFmtId="0" fontId="2" fillId="0" borderId="4" xfId="0" applyFont="1" applyBorder="1" applyAlignment="1">
      <alignment horizontal="left"/>
    </xf>
    <xf numFmtId="2" fontId="2" fillId="2" borderId="17" xfId="0" applyNumberFormat="1" applyFont="1" applyFill="1" applyBorder="1"/>
    <xf numFmtId="2" fontId="0" fillId="6" borderId="17" xfId="0" applyNumberFormat="1" applyFill="1" applyBorder="1"/>
    <xf numFmtId="165" fontId="0" fillId="2" borderId="4" xfId="0" applyNumberFormat="1" applyFill="1" applyBorder="1"/>
    <xf numFmtId="165" fontId="0" fillId="6" borderId="4" xfId="0" applyNumberFormat="1" applyFill="1" applyBorder="1"/>
    <xf numFmtId="10" fontId="0" fillId="6" borderId="4" xfId="2" applyNumberFormat="1" applyFont="1" applyFill="1" applyBorder="1" applyProtection="1"/>
    <xf numFmtId="0" fontId="5" fillId="6" borderId="4" xfId="0" applyFont="1" applyFill="1" applyBorder="1"/>
    <xf numFmtId="0" fontId="0" fillId="10" borderId="31" xfId="0" applyFill="1" applyBorder="1" applyProtection="1">
      <protection locked="0"/>
    </xf>
    <xf numFmtId="0" fontId="0" fillId="9" borderId="32" xfId="0" applyFill="1" applyBorder="1" applyProtection="1">
      <protection locked="0"/>
    </xf>
    <xf numFmtId="0" fontId="30" fillId="12" borderId="4" xfId="0" applyFont="1" applyFill="1" applyBorder="1" applyAlignment="1" applyProtection="1">
      <alignment horizontal="center"/>
      <protection locked="0"/>
    </xf>
    <xf numFmtId="0" fontId="0" fillId="0" borderId="43" xfId="0" applyBorder="1" applyProtection="1">
      <protection locked="0"/>
    </xf>
    <xf numFmtId="0" fontId="0" fillId="0" borderId="5" xfId="0" applyBorder="1"/>
    <xf numFmtId="0" fontId="0" fillId="0" borderId="12" xfId="0" applyBorder="1" applyAlignment="1">
      <alignment horizontal="center" vertical="top"/>
    </xf>
    <xf numFmtId="0" fontId="0" fillId="0" borderId="17" xfId="0" applyBorder="1" applyAlignment="1">
      <alignment horizontal="center" vertical="top"/>
    </xf>
    <xf numFmtId="0" fontId="19" fillId="0" borderId="0" xfId="0" applyFont="1" applyAlignment="1">
      <alignment horizontal="left"/>
    </xf>
    <xf numFmtId="0" fontId="2" fillId="2" borderId="4" xfId="0" applyFont="1" applyFill="1" applyBorder="1" applyAlignment="1">
      <alignment horizontal="right"/>
    </xf>
    <xf numFmtId="0" fontId="2" fillId="0" borderId="4" xfId="0" applyFont="1" applyBorder="1" applyAlignment="1">
      <alignment horizontal="right"/>
    </xf>
    <xf numFmtId="2" fontId="0" fillId="10" borderId="4" xfId="0" applyNumberFormat="1" applyFill="1" applyBorder="1"/>
    <xf numFmtId="164" fontId="0" fillId="10" borderId="33" xfId="1" applyNumberFormat="1" applyFont="1" applyFill="1" applyBorder="1" applyProtection="1">
      <protection locked="0"/>
    </xf>
    <xf numFmtId="164" fontId="0" fillId="0" borderId="34" xfId="1" applyNumberFormat="1" applyFont="1" applyBorder="1" applyProtection="1">
      <protection locked="0"/>
    </xf>
    <xf numFmtId="164" fontId="0" fillId="0" borderId="35" xfId="1" applyNumberFormat="1" applyFont="1" applyBorder="1" applyProtection="1">
      <protection locked="0"/>
    </xf>
    <xf numFmtId="164" fontId="0" fillId="0" borderId="36" xfId="1" applyNumberFormat="1" applyFont="1" applyBorder="1" applyAlignment="1" applyProtection="1">
      <protection locked="0"/>
    </xf>
    <xf numFmtId="164" fontId="0" fillId="10" borderId="37" xfId="1" applyNumberFormat="1" applyFont="1" applyFill="1" applyBorder="1" applyProtection="1">
      <protection locked="0"/>
    </xf>
    <xf numFmtId="164" fontId="13" fillId="0" borderId="7" xfId="1" applyNumberFormat="1" applyFont="1" applyBorder="1" applyProtection="1">
      <protection locked="0"/>
    </xf>
    <xf numFmtId="164" fontId="0" fillId="0" borderId="7" xfId="1" applyNumberFormat="1" applyFont="1" applyBorder="1" applyProtection="1">
      <protection locked="0"/>
    </xf>
    <xf numFmtId="164" fontId="0" fillId="0" borderId="38" xfId="1" applyNumberFormat="1" applyFont="1" applyBorder="1" applyAlignment="1" applyProtection="1">
      <protection locked="0"/>
    </xf>
    <xf numFmtId="164" fontId="0" fillId="8" borderId="42" xfId="1" applyNumberFormat="1" applyFont="1" applyFill="1" applyBorder="1" applyAlignment="1" applyProtection="1">
      <protection locked="0"/>
    </xf>
    <xf numFmtId="164" fontId="0" fillId="0" borderId="36" xfId="1" applyNumberFormat="1" applyFont="1" applyBorder="1" applyProtection="1">
      <protection locked="0"/>
    </xf>
    <xf numFmtId="164" fontId="0" fillId="0" borderId="4" xfId="1" applyNumberFormat="1" applyFont="1" applyBorder="1" applyProtection="1">
      <protection locked="0"/>
    </xf>
    <xf numFmtId="164" fontId="0" fillId="0" borderId="38" xfId="1" applyNumberFormat="1" applyFont="1" applyBorder="1" applyProtection="1">
      <protection locked="0"/>
    </xf>
    <xf numFmtId="164" fontId="0" fillId="8" borderId="41" xfId="1" applyNumberFormat="1" applyFont="1" applyFill="1" applyBorder="1" applyProtection="1">
      <protection locked="0"/>
    </xf>
    <xf numFmtId="164" fontId="0" fillId="8" borderId="42" xfId="1" applyNumberFormat="1" applyFont="1" applyFill="1" applyBorder="1" applyProtection="1">
      <protection locked="0"/>
    </xf>
    <xf numFmtId="43" fontId="0" fillId="6" borderId="17" xfId="1" applyFont="1" applyFill="1" applyBorder="1"/>
    <xf numFmtId="165" fontId="0" fillId="4" borderId="17" xfId="0" applyNumberFormat="1" applyFill="1" applyBorder="1"/>
    <xf numFmtId="2" fontId="2" fillId="4" borderId="4" xfId="0" applyNumberFormat="1" applyFont="1" applyFill="1" applyBorder="1"/>
    <xf numFmtId="43" fontId="16" fillId="4" borderId="4" xfId="1" applyFont="1" applyFill="1" applyBorder="1" applyAlignment="1"/>
    <xf numFmtId="43" fontId="0" fillId="10" borderId="11" xfId="1" applyFont="1" applyFill="1" applyBorder="1" applyAlignment="1"/>
    <xf numFmtId="43" fontId="0" fillId="22" borderId="11" xfId="1" applyFont="1" applyFill="1" applyBorder="1" applyAlignment="1"/>
    <xf numFmtId="43" fontId="0" fillId="10" borderId="34" xfId="1" applyFont="1" applyFill="1" applyBorder="1" applyAlignment="1" applyProtection="1">
      <protection locked="0"/>
    </xf>
    <xf numFmtId="43" fontId="0" fillId="0" borderId="35" xfId="1" applyFont="1" applyBorder="1" applyAlignment="1" applyProtection="1">
      <protection locked="0"/>
    </xf>
    <xf numFmtId="43" fontId="0" fillId="0" borderId="36" xfId="1" applyFont="1" applyBorder="1" applyAlignment="1" applyProtection="1">
      <protection locked="0"/>
    </xf>
    <xf numFmtId="43" fontId="0" fillId="10" borderId="7" xfId="1" applyFont="1" applyFill="1" applyBorder="1" applyAlignment="1" applyProtection="1">
      <protection locked="0"/>
    </xf>
    <xf numFmtId="43" fontId="0" fillId="0" borderId="7" xfId="1" applyFont="1" applyBorder="1" applyAlignment="1" applyProtection="1">
      <protection locked="0"/>
    </xf>
    <xf numFmtId="43" fontId="0" fillId="0" borderId="4" xfId="1" applyFont="1" applyBorder="1" applyAlignment="1" applyProtection="1">
      <protection locked="0"/>
    </xf>
    <xf numFmtId="43" fontId="0" fillId="0" borderId="38" xfId="1" applyFont="1" applyBorder="1" applyAlignment="1" applyProtection="1">
      <protection locked="0"/>
    </xf>
    <xf numFmtId="43" fontId="0" fillId="8" borderId="40" xfId="1" applyFont="1" applyFill="1" applyBorder="1" applyAlignment="1" applyProtection="1">
      <protection locked="0"/>
    </xf>
    <xf numFmtId="43" fontId="0" fillId="8" borderId="41" xfId="1" applyFont="1" applyFill="1" applyBorder="1" applyAlignment="1" applyProtection="1">
      <protection locked="0"/>
    </xf>
    <xf numFmtId="43" fontId="0" fillId="8" borderId="42" xfId="1" applyFont="1" applyFill="1" applyBorder="1" applyAlignment="1" applyProtection="1">
      <protection locked="0"/>
    </xf>
    <xf numFmtId="0" fontId="17" fillId="0" borderId="6" xfId="0" applyFont="1" applyBorder="1"/>
    <xf numFmtId="0" fontId="2" fillId="8" borderId="13" xfId="0" applyFont="1" applyFill="1" applyBorder="1" applyProtection="1">
      <protection locked="0"/>
    </xf>
    <xf numFmtId="2" fontId="0" fillId="0" borderId="34" xfId="0" applyNumberFormat="1" applyBorder="1" applyProtection="1">
      <protection locked="0"/>
    </xf>
    <xf numFmtId="2" fontId="0" fillId="0" borderId="7" xfId="0" applyNumberFormat="1" applyBorder="1" applyProtection="1">
      <protection locked="0"/>
    </xf>
    <xf numFmtId="0" fontId="0" fillId="9" borderId="0" xfId="0" applyFill="1"/>
    <xf numFmtId="0" fontId="0" fillId="6" borderId="54" xfId="0" applyFill="1" applyBorder="1"/>
    <xf numFmtId="2" fontId="0" fillId="6" borderId="55" xfId="0" applyNumberFormat="1" applyFill="1" applyBorder="1"/>
    <xf numFmtId="43" fontId="0" fillId="4" borderId="56" xfId="1" applyFont="1" applyFill="1" applyBorder="1" applyProtection="1"/>
    <xf numFmtId="0" fontId="0" fillId="22" borderId="57" xfId="0" applyFill="1" applyBorder="1"/>
    <xf numFmtId="2" fontId="0" fillId="22" borderId="58" xfId="0" applyNumberFormat="1" applyFill="1" applyBorder="1" applyAlignment="1">
      <alignment horizontal="right"/>
    </xf>
    <xf numFmtId="2" fontId="0" fillId="4" borderId="58" xfId="0" applyNumberFormat="1" applyFill="1" applyBorder="1" applyAlignment="1">
      <alignment horizontal="right"/>
    </xf>
    <xf numFmtId="2" fontId="0" fillId="22" borderId="59" xfId="0" applyNumberFormat="1" applyFill="1" applyBorder="1" applyAlignment="1">
      <alignment horizontal="right"/>
    </xf>
    <xf numFmtId="2" fontId="0" fillId="4" borderId="56" xfId="0" applyNumberFormat="1" applyFill="1" applyBorder="1"/>
    <xf numFmtId="0" fontId="0" fillId="2" borderId="54" xfId="0" applyFill="1" applyBorder="1"/>
    <xf numFmtId="2" fontId="0" fillId="2" borderId="55" xfId="0" applyNumberFormat="1" applyFill="1" applyBorder="1"/>
    <xf numFmtId="2" fontId="0" fillId="4" borderId="56" xfId="1" applyNumberFormat="1" applyFont="1" applyFill="1" applyBorder="1" applyProtection="1"/>
    <xf numFmtId="0" fontId="0" fillId="10" borderId="57" xfId="0" applyFill="1" applyBorder="1"/>
    <xf numFmtId="2" fontId="0" fillId="10" borderId="58" xfId="0" applyNumberFormat="1" applyFill="1" applyBorder="1" applyAlignment="1">
      <alignment horizontal="right"/>
    </xf>
    <xf numFmtId="2" fontId="0" fillId="10" borderId="59" xfId="1" applyNumberFormat="1" applyFont="1" applyFill="1" applyBorder="1" applyAlignment="1" applyProtection="1">
      <alignment horizontal="right"/>
    </xf>
    <xf numFmtId="0" fontId="2" fillId="0" borderId="1" xfId="0" applyFont="1" applyBorder="1" applyAlignment="1">
      <alignment vertical="center"/>
    </xf>
    <xf numFmtId="0" fontId="16" fillId="0" borderId="22" xfId="0" applyFont="1" applyBorder="1" applyAlignment="1">
      <alignment horizontal="right" vertical="center"/>
    </xf>
    <xf numFmtId="0" fontId="16" fillId="0" borderId="60" xfId="0" applyFont="1" applyBorder="1" applyAlignment="1">
      <alignment wrapText="1"/>
    </xf>
    <xf numFmtId="0" fontId="16" fillId="0" borderId="3" xfId="0" applyFont="1" applyBorder="1" applyAlignment="1">
      <alignment wrapText="1"/>
    </xf>
    <xf numFmtId="2" fontId="0" fillId="4" borderId="56" xfId="0" applyNumberFormat="1" applyFill="1" applyBorder="1" applyAlignment="1">
      <alignment horizontal="right"/>
    </xf>
    <xf numFmtId="43" fontId="0" fillId="4" borderId="56" xfId="1" applyFont="1" applyFill="1" applyBorder="1" applyAlignment="1" applyProtection="1">
      <alignment horizontal="left"/>
    </xf>
    <xf numFmtId="0" fontId="0" fillId="0" borderId="13" xfId="0" applyBorder="1" applyAlignment="1">
      <alignment horizontal="center"/>
    </xf>
    <xf numFmtId="0" fontId="4" fillId="0" borderId="13" xfId="0" applyFont="1" applyBorder="1" applyAlignment="1">
      <alignment horizontal="left"/>
    </xf>
    <xf numFmtId="0" fontId="0" fillId="0" borderId="0" xfId="0" applyAlignment="1" applyProtection="1">
      <alignment vertical="center" wrapText="1"/>
      <protection hidden="1"/>
    </xf>
    <xf numFmtId="0" fontId="0" fillId="0" borderId="0" xfId="0" applyAlignment="1">
      <alignment vertical="top" wrapText="1"/>
    </xf>
    <xf numFmtId="0" fontId="0" fillId="0" borderId="12" xfId="0" applyBorder="1" applyAlignment="1">
      <alignment vertical="top"/>
    </xf>
    <xf numFmtId="0" fontId="0" fillId="0" borderId="17" xfId="0" applyBorder="1" applyAlignment="1">
      <alignment vertical="top"/>
    </xf>
    <xf numFmtId="0" fontId="13" fillId="0" borderId="12" xfId="0" applyFont="1" applyBorder="1" applyAlignment="1">
      <alignment vertical="top"/>
    </xf>
    <xf numFmtId="0" fontId="13" fillId="0" borderId="17" xfId="0" applyFont="1" applyBorder="1" applyAlignment="1">
      <alignment vertical="top"/>
    </xf>
    <xf numFmtId="0" fontId="0" fillId="0" borderId="0" xfId="0" applyAlignment="1" applyProtection="1">
      <alignment vertical="center"/>
      <protection hidden="1"/>
    </xf>
    <xf numFmtId="0" fontId="4" fillId="0" borderId="4" xfId="0" applyFont="1" applyBorder="1"/>
    <xf numFmtId="164" fontId="0" fillId="4" borderId="4" xfId="0" applyNumberFormat="1" applyFill="1" applyBorder="1"/>
    <xf numFmtId="164" fontId="0" fillId="4" borderId="7" xfId="0" applyNumberFormat="1" applyFill="1" applyBorder="1"/>
    <xf numFmtId="10" fontId="0" fillId="2" borderId="7" xfId="2" applyNumberFormat="1" applyFont="1" applyFill="1" applyBorder="1" applyAlignment="1"/>
    <xf numFmtId="43" fontId="0" fillId="2" borderId="4" xfId="0" applyNumberFormat="1" applyFill="1" applyBorder="1"/>
    <xf numFmtId="164" fontId="0" fillId="10" borderId="34" xfId="1" applyNumberFormat="1" applyFont="1" applyFill="1" applyBorder="1" applyProtection="1">
      <protection locked="0"/>
    </xf>
    <xf numFmtId="164" fontId="0" fillId="10" borderId="35" xfId="1" applyNumberFormat="1" applyFont="1" applyFill="1" applyBorder="1" applyProtection="1">
      <protection locked="0"/>
    </xf>
    <xf numFmtId="164" fontId="0" fillId="10" borderId="36" xfId="1" applyNumberFormat="1" applyFont="1" applyFill="1" applyBorder="1" applyProtection="1">
      <protection locked="0"/>
    </xf>
    <xf numFmtId="43" fontId="0" fillId="2" borderId="7" xfId="0" applyNumberFormat="1" applyFill="1" applyBorder="1" applyAlignment="1">
      <alignment horizontal="center"/>
    </xf>
    <xf numFmtId="43" fontId="0" fillId="6" borderId="7" xfId="0" applyNumberFormat="1" applyFill="1" applyBorder="1" applyAlignment="1">
      <alignment horizontal="center"/>
    </xf>
    <xf numFmtId="0" fontId="0" fillId="2" borderId="0" xfId="0" applyFill="1" applyAlignment="1">
      <alignment horizontal="center"/>
    </xf>
    <xf numFmtId="43" fontId="0" fillId="9" borderId="4" xfId="0" applyNumberFormat="1" applyFill="1" applyBorder="1"/>
    <xf numFmtId="10" fontId="0" fillId="9" borderId="4" xfId="2" applyNumberFormat="1" applyFont="1" applyFill="1" applyBorder="1"/>
    <xf numFmtId="0" fontId="2" fillId="2" borderId="13" xfId="0" applyFont="1" applyFill="1" applyBorder="1"/>
    <xf numFmtId="0" fontId="2" fillId="2" borderId="0" xfId="0" applyFont="1" applyFill="1"/>
    <xf numFmtId="0" fontId="0" fillId="0" borderId="19" xfId="0" applyBorder="1" applyAlignment="1">
      <alignment horizontal="left" vertical="top" wrapText="1"/>
    </xf>
    <xf numFmtId="0" fontId="0" fillId="0" borderId="0" xfId="0" applyAlignment="1">
      <alignment horizontal="left" vertical="top" wrapText="1"/>
    </xf>
    <xf numFmtId="0" fontId="2" fillId="5" borderId="0" xfId="0" applyFont="1" applyFill="1" applyAlignment="1">
      <alignment horizontal="right"/>
    </xf>
    <xf numFmtId="0" fontId="0" fillId="6" borderId="0" xfId="0" applyFill="1" applyAlignment="1">
      <alignment horizontal="center"/>
    </xf>
    <xf numFmtId="0" fontId="2" fillId="0" borderId="0" xfId="0" applyFont="1" applyAlignment="1">
      <alignment horizontal="center"/>
    </xf>
    <xf numFmtId="0" fontId="8" fillId="0" borderId="20" xfId="0" applyFont="1" applyBorder="1" applyAlignment="1">
      <alignment horizontal="center" vertical="center" wrapText="1"/>
    </xf>
    <xf numFmtId="0" fontId="0" fillId="0" borderId="4" xfId="0" applyBorder="1" applyAlignment="1">
      <alignment horizontal="left" indent="1"/>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14" fontId="8" fillId="0" borderId="20" xfId="0" applyNumberFormat="1" applyFont="1" applyBorder="1" applyAlignment="1">
      <alignment horizontal="center" vertical="center" wrapText="1"/>
    </xf>
    <xf numFmtId="0" fontId="9" fillId="0" borderId="20" xfId="0" applyFont="1" applyBorder="1" applyAlignment="1">
      <alignment horizontal="center" vertical="center" wrapText="1"/>
    </xf>
    <xf numFmtId="0" fontId="10" fillId="27" borderId="16" xfId="0" applyFont="1" applyFill="1" applyBorder="1" applyAlignment="1">
      <alignment horizontal="center"/>
    </xf>
    <xf numFmtId="0" fontId="10" fillId="7" borderId="16" xfId="0" applyFont="1" applyFill="1" applyBorder="1" applyAlignment="1">
      <alignment horizontal="center"/>
    </xf>
    <xf numFmtId="0" fontId="0" fillId="3" borderId="23" xfId="0" applyFill="1" applyBorder="1" applyAlignment="1" applyProtection="1">
      <alignment horizontal="left" indent="1"/>
      <protection locked="0"/>
    </xf>
    <xf numFmtId="0" fontId="0" fillId="3" borderId="24" xfId="0" applyFill="1" applyBorder="1" applyAlignment="1" applyProtection="1">
      <alignment horizontal="left" indent="1"/>
      <protection locked="0"/>
    </xf>
    <xf numFmtId="0" fontId="0" fillId="3" borderId="25" xfId="0" applyFill="1" applyBorder="1" applyAlignment="1" applyProtection="1">
      <alignment horizontal="left" indent="1"/>
      <protection locked="0"/>
    </xf>
    <xf numFmtId="0" fontId="0" fillId="3" borderId="26" xfId="0" applyFill="1" applyBorder="1" applyAlignment="1" applyProtection="1">
      <alignment horizontal="left" indent="1"/>
      <protection locked="0"/>
    </xf>
    <xf numFmtId="0" fontId="0" fillId="3" borderId="0" xfId="0" applyFill="1" applyAlignment="1" applyProtection="1">
      <alignment horizontal="left" indent="1"/>
      <protection locked="0"/>
    </xf>
    <xf numFmtId="0" fontId="0" fillId="3" borderId="27" xfId="0" applyFill="1" applyBorder="1" applyAlignment="1" applyProtection="1">
      <alignment horizontal="left" indent="1"/>
      <protection locked="0"/>
    </xf>
    <xf numFmtId="0" fontId="0" fillId="3" borderId="28" xfId="0" applyFill="1" applyBorder="1" applyAlignment="1" applyProtection="1">
      <alignment horizontal="left" indent="1"/>
      <protection locked="0"/>
    </xf>
    <xf numFmtId="0" fontId="0" fillId="3" borderId="29" xfId="0" applyFill="1" applyBorder="1" applyAlignment="1" applyProtection="1">
      <alignment horizontal="left" indent="1"/>
      <protection locked="0"/>
    </xf>
    <xf numFmtId="0" fontId="0" fillId="3" borderId="30" xfId="0" applyFill="1" applyBorder="1" applyAlignment="1" applyProtection="1">
      <alignment horizontal="left" indent="1"/>
      <protection locked="0"/>
    </xf>
    <xf numFmtId="0" fontId="0" fillId="9" borderId="0" xfId="0" applyFill="1" applyAlignment="1">
      <alignment horizontal="left" indent="1"/>
    </xf>
    <xf numFmtId="0" fontId="2" fillId="6" borderId="0" xfId="0" applyFont="1" applyFill="1" applyAlignment="1">
      <alignment horizontal="left"/>
    </xf>
    <xf numFmtId="0" fontId="0" fillId="6" borderId="4" xfId="0" applyFill="1" applyBorder="1" applyAlignment="1">
      <alignment horizontal="center" vertical="center"/>
    </xf>
    <xf numFmtId="0" fontId="2" fillId="6" borderId="8" xfId="0" applyFont="1" applyFill="1" applyBorder="1" applyAlignment="1">
      <alignment horizontal="center" vertical="center"/>
    </xf>
    <xf numFmtId="0" fontId="2" fillId="6" borderId="9" xfId="0" applyFont="1" applyFill="1" applyBorder="1" applyAlignment="1">
      <alignment horizontal="center" vertical="center"/>
    </xf>
    <xf numFmtId="0" fontId="2" fillId="6" borderId="10" xfId="0" applyFont="1" applyFill="1" applyBorder="1" applyAlignment="1">
      <alignment horizontal="center" vertical="center"/>
    </xf>
    <xf numFmtId="0" fontId="2" fillId="6" borderId="11" xfId="0" applyFont="1" applyFill="1" applyBorder="1" applyAlignment="1">
      <alignment horizontal="center" vertical="center"/>
    </xf>
    <xf numFmtId="0" fontId="2" fillId="0" borderId="0" xfId="0" applyFont="1" applyAlignment="1">
      <alignment horizontal="left"/>
    </xf>
    <xf numFmtId="0" fontId="0" fillId="6" borderId="5" xfId="0" applyFill="1" applyBorder="1" applyAlignment="1">
      <alignment horizontal="center" vertical="center"/>
    </xf>
    <xf numFmtId="0" fontId="0" fillId="6" borderId="7" xfId="0" applyFill="1" applyBorder="1" applyAlignment="1">
      <alignment horizontal="center" vertical="center"/>
    </xf>
    <xf numFmtId="0" fontId="4" fillId="0" borderId="5" xfId="0" applyFont="1" applyBorder="1" applyAlignment="1">
      <alignment horizontal="center"/>
    </xf>
    <xf numFmtId="0" fontId="4" fillId="0" borderId="7" xfId="0" applyFont="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8" xfId="0" applyBorder="1" applyAlignment="1">
      <alignment horizontal="left" wrapText="1"/>
    </xf>
    <xf numFmtId="0" fontId="0" fillId="0" borderId="13" xfId="0" applyBorder="1" applyAlignment="1">
      <alignment horizontal="left" wrapText="1"/>
    </xf>
    <xf numFmtId="0" fontId="0" fillId="0" borderId="15" xfId="0" applyBorder="1" applyAlignment="1">
      <alignment horizontal="left" wrapText="1"/>
    </xf>
    <xf numFmtId="0" fontId="0" fillId="0" borderId="0" xfId="0" applyAlignment="1">
      <alignment horizontal="left" wrapText="1"/>
    </xf>
    <xf numFmtId="0" fontId="2" fillId="6" borderId="14" xfId="0" applyFont="1" applyFill="1" applyBorder="1" applyAlignment="1">
      <alignment horizontal="left"/>
    </xf>
    <xf numFmtId="0" fontId="0" fillId="0" borderId="7" xfId="0" applyBorder="1" applyAlignment="1">
      <alignment horizontal="center"/>
    </xf>
    <xf numFmtId="0" fontId="0" fillId="6" borderId="4" xfId="0" applyFill="1" applyBorder="1" applyAlignment="1">
      <alignment horizontal="center"/>
    </xf>
    <xf numFmtId="0" fontId="0" fillId="6" borderId="5" xfId="0" applyFill="1" applyBorder="1" applyAlignment="1">
      <alignment horizontal="center"/>
    </xf>
    <xf numFmtId="0" fontId="0" fillId="6" borderId="7" xfId="0" applyFill="1" applyBorder="1" applyAlignment="1">
      <alignment horizontal="center"/>
    </xf>
    <xf numFmtId="0" fontId="0" fillId="0" borderId="5"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2" fillId="6" borderId="8" xfId="0" applyFont="1" applyFill="1" applyBorder="1" applyAlignment="1">
      <alignment horizontal="center" vertical="center" wrapText="1"/>
    </xf>
    <xf numFmtId="43" fontId="0" fillId="0" borderId="46" xfId="1" applyFont="1" applyFill="1" applyBorder="1" applyAlignment="1" applyProtection="1">
      <alignment horizontal="center" vertical="center"/>
      <protection locked="0"/>
    </xf>
    <xf numFmtId="43" fontId="0" fillId="0" borderId="47" xfId="1" applyFont="1" applyFill="1" applyBorder="1" applyAlignment="1" applyProtection="1">
      <alignment horizontal="center" vertical="center"/>
      <protection locked="0"/>
    </xf>
    <xf numFmtId="43" fontId="0" fillId="0" borderId="48" xfId="1" applyFont="1" applyFill="1" applyBorder="1" applyAlignment="1" applyProtection="1">
      <alignment horizontal="center" vertical="center"/>
      <protection locked="0"/>
    </xf>
    <xf numFmtId="0" fontId="0" fillId="0" borderId="4" xfId="0" applyBorder="1" applyAlignment="1">
      <alignment horizontal="left"/>
    </xf>
    <xf numFmtId="0" fontId="0" fillId="0" borderId="0" xfId="0" applyAlignment="1">
      <alignment horizontal="center"/>
    </xf>
    <xf numFmtId="0" fontId="0" fillId="0" borderId="0" xfId="0" applyAlignment="1">
      <alignment horizontal="left"/>
    </xf>
    <xf numFmtId="0" fontId="4" fillId="0" borderId="0" xfId="0" applyFont="1" applyAlignment="1">
      <alignment horizontal="left"/>
    </xf>
    <xf numFmtId="0" fontId="0" fillId="0" borderId="10" xfId="0" applyBorder="1" applyAlignment="1">
      <alignment horizontal="center"/>
    </xf>
    <xf numFmtId="0" fontId="0" fillId="0" borderId="16" xfId="0" applyBorder="1" applyAlignment="1">
      <alignment horizontal="center"/>
    </xf>
    <xf numFmtId="0" fontId="2" fillId="6" borderId="63" xfId="0" applyFont="1" applyFill="1" applyBorder="1" applyAlignment="1">
      <alignment horizontal="center" vertical="center"/>
    </xf>
    <xf numFmtId="0" fontId="2" fillId="6" borderId="12" xfId="0" applyFont="1" applyFill="1" applyBorder="1" applyAlignment="1">
      <alignment horizontal="center" vertical="center" wrapText="1"/>
    </xf>
    <xf numFmtId="0" fontId="2" fillId="6" borderId="17" xfId="0" applyFont="1" applyFill="1" applyBorder="1" applyAlignment="1">
      <alignment horizontal="center" vertical="center" wrapText="1"/>
    </xf>
    <xf numFmtId="0" fontId="2" fillId="6" borderId="6" xfId="0" applyFont="1" applyFill="1" applyBorder="1" applyAlignment="1">
      <alignment horizontal="center"/>
    </xf>
    <xf numFmtId="0" fontId="2" fillId="6" borderId="7" xfId="0" applyFont="1" applyFill="1" applyBorder="1" applyAlignment="1">
      <alignment horizontal="center"/>
    </xf>
    <xf numFmtId="0" fontId="2" fillId="6" borderId="12" xfId="0" applyFont="1" applyFill="1" applyBorder="1" applyAlignment="1">
      <alignment horizontal="center" vertical="center"/>
    </xf>
    <xf numFmtId="0" fontId="2" fillId="6" borderId="17" xfId="0" applyFont="1" applyFill="1" applyBorder="1" applyAlignment="1">
      <alignment horizontal="center" vertical="center"/>
    </xf>
    <xf numFmtId="0" fontId="2" fillId="6" borderId="9" xfId="0" applyFont="1" applyFill="1" applyBorder="1" applyAlignment="1">
      <alignment horizontal="center" vertical="center" wrapText="1"/>
    </xf>
    <xf numFmtId="0" fontId="2" fillId="6" borderId="61" xfId="0" applyFont="1" applyFill="1" applyBorder="1" applyAlignment="1">
      <alignment horizontal="center" vertical="center"/>
    </xf>
    <xf numFmtId="0" fontId="2" fillId="6" borderId="62" xfId="0" applyFont="1" applyFill="1" applyBorder="1" applyAlignment="1">
      <alignment horizontal="center" vertical="center"/>
    </xf>
    <xf numFmtId="0" fontId="19" fillId="0" borderId="0" xfId="0" applyFont="1" applyAlignment="1">
      <alignment horizontal="left"/>
    </xf>
    <xf numFmtId="0" fontId="21" fillId="0" borderId="8"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7" xfId="0" applyFont="1" applyBorder="1" applyAlignment="1">
      <alignment horizontal="center" vertical="center" wrapText="1"/>
    </xf>
    <xf numFmtId="0" fontId="0" fillId="0" borderId="12" xfId="0" applyBorder="1" applyAlignment="1">
      <alignment horizontal="center" vertical="top"/>
    </xf>
    <xf numFmtId="0" fontId="0" fillId="0" borderId="17" xfId="0" applyBorder="1" applyAlignment="1">
      <alignment horizontal="center" vertical="top"/>
    </xf>
    <xf numFmtId="0" fontId="13" fillId="0" borderId="12" xfId="0" applyFont="1" applyBorder="1" applyAlignment="1">
      <alignment horizontal="center" vertical="top"/>
    </xf>
    <xf numFmtId="0" fontId="13" fillId="0" borderId="17" xfId="0" applyFont="1" applyBorder="1" applyAlignment="1">
      <alignment horizontal="center" vertical="top"/>
    </xf>
    <xf numFmtId="0" fontId="2" fillId="0" borderId="8" xfId="0" applyFont="1" applyBorder="1" applyAlignment="1">
      <alignment horizontal="center"/>
    </xf>
    <xf numFmtId="0" fontId="2" fillId="0" borderId="13" xfId="0" applyFont="1" applyBorder="1" applyAlignment="1">
      <alignment horizontal="center"/>
    </xf>
    <xf numFmtId="0" fontId="2" fillId="0" borderId="9" xfId="0" applyFont="1" applyBorder="1" applyAlignment="1">
      <alignment horizontal="center"/>
    </xf>
    <xf numFmtId="0" fontId="2" fillId="0" borderId="15" xfId="0" applyFont="1" applyBorder="1" applyAlignment="1">
      <alignment horizontal="center"/>
    </xf>
    <xf numFmtId="0" fontId="2" fillId="0" borderId="14" xfId="0" applyFont="1" applyBorder="1" applyAlignment="1">
      <alignment horizontal="center"/>
    </xf>
    <xf numFmtId="0" fontId="2" fillId="0" borderId="10" xfId="0" applyFont="1" applyBorder="1" applyAlignment="1">
      <alignment horizontal="center"/>
    </xf>
    <xf numFmtId="0" fontId="2" fillId="0" borderId="16" xfId="0" applyFont="1" applyBorder="1" applyAlignment="1">
      <alignment horizontal="center"/>
    </xf>
    <xf numFmtId="0" fontId="2" fillId="0" borderId="11" xfId="0" applyFont="1" applyBorder="1" applyAlignment="1">
      <alignment horizontal="center"/>
    </xf>
    <xf numFmtId="0" fontId="0" fillId="0" borderId="8" xfId="0" applyBorder="1" applyAlignment="1">
      <alignment horizontal="center"/>
    </xf>
    <xf numFmtId="0" fontId="0" fillId="0" borderId="13" xfId="0" applyBorder="1" applyAlignment="1">
      <alignment horizontal="center"/>
    </xf>
    <xf numFmtId="0" fontId="0" fillId="0" borderId="9" xfId="0" applyBorder="1" applyAlignment="1">
      <alignment horizontal="center"/>
    </xf>
    <xf numFmtId="0" fontId="0" fillId="0" borderId="15" xfId="0" applyBorder="1" applyAlignment="1">
      <alignment horizontal="center"/>
    </xf>
    <xf numFmtId="0" fontId="0" fillId="0" borderId="14" xfId="0" applyBorder="1" applyAlignment="1">
      <alignment horizontal="center"/>
    </xf>
    <xf numFmtId="0" fontId="0" fillId="0" borderId="11" xfId="0" applyBorder="1" applyAlignment="1">
      <alignment horizontal="center"/>
    </xf>
    <xf numFmtId="0" fontId="2" fillId="0" borderId="5"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0" fillId="0" borderId="0" xfId="0" applyAlignment="1" applyProtection="1">
      <alignment horizontal="center" vertical="center" wrapText="1"/>
      <protection hidden="1"/>
    </xf>
    <xf numFmtId="0" fontId="0" fillId="0" borderId="0" xfId="0" applyAlignment="1">
      <alignment horizontal="center" vertical="top" wrapText="1"/>
    </xf>
    <xf numFmtId="0" fontId="0" fillId="0" borderId="4" xfId="0" applyBorder="1" applyAlignment="1">
      <alignment horizontal="center"/>
    </xf>
    <xf numFmtId="0" fontId="0" fillId="0" borderId="0" xfId="0" applyAlignment="1" applyProtection="1">
      <alignment horizontal="center" vertical="center"/>
      <protection hidden="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0" fillId="0" borderId="4" xfId="0" applyBorder="1" applyAlignment="1">
      <alignment horizontal="center" vertical="center"/>
    </xf>
    <xf numFmtId="0" fontId="0" fillId="0" borderId="53" xfId="0" applyBorder="1" applyAlignment="1">
      <alignment horizontal="center"/>
    </xf>
    <xf numFmtId="0" fontId="2" fillId="0" borderId="0" xfId="0" applyFont="1" applyAlignment="1" applyProtection="1">
      <alignment horizontal="left"/>
      <protection locked="0"/>
    </xf>
    <xf numFmtId="0" fontId="13" fillId="0" borderId="0" xfId="0" applyFont="1" applyAlignment="1">
      <alignment horizontal="left"/>
    </xf>
    <xf numFmtId="0" fontId="4" fillId="0" borderId="8" xfId="0" applyFont="1" applyBorder="1" applyAlignment="1">
      <alignment horizontal="left"/>
    </xf>
    <xf numFmtId="0" fontId="4" fillId="0" borderId="6" xfId="0" applyFont="1" applyBorder="1" applyAlignment="1">
      <alignment horizontal="left"/>
    </xf>
    <xf numFmtId="0" fontId="4" fillId="0" borderId="7" xfId="0" applyFont="1"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0" borderId="5" xfId="0" applyBorder="1"/>
    <xf numFmtId="0" fontId="0" fillId="0" borderId="6" xfId="0" applyBorder="1"/>
    <xf numFmtId="0" fontId="0" fillId="0" borderId="7" xfId="0" applyBorder="1"/>
    <xf numFmtId="0" fontId="0" fillId="0" borderId="13" xfId="0" applyBorder="1" applyAlignment="1">
      <alignment horizontal="left"/>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3333FF"/>
      <color rgb="FFFF6699"/>
      <color rgb="FFFF00FF"/>
      <color rgb="FF33CCCC"/>
      <color rgb="FF64EA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7"/>
          <c:order val="0"/>
          <c:tx>
            <c:v>Energy</c:v>
          </c:tx>
          <c:spPr>
            <a:solidFill>
              <a:schemeClr val="accent2">
                <a:lumMod val="60000"/>
              </a:schemeClr>
            </a:solidFill>
            <a:ln>
              <a:noFill/>
            </a:ln>
            <a:effectLst/>
          </c:spPr>
          <c:invertIfNegative val="0"/>
          <c:cat>
            <c:numRef>
              <c:f>'Summary (old)'!$D$20:$Q$20</c:f>
              <c:numCache>
                <c:formatCode>General</c:formatCode>
                <c:ptCount val="14"/>
                <c:pt idx="0">
                  <c:v>2015</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numCache>
            </c:numRef>
          </c:cat>
          <c:val>
            <c:numRef>
              <c:f>'Summary (old)'!$D$22:$Q$22</c:f>
              <c:numCache>
                <c:formatCode>_(* #,##0.00_);_(* \(#,##0.00\);_(* "-"??_);_(@_)</c:formatCode>
                <c:ptCount val="14"/>
                <c:pt idx="0">
                  <c:v>1839.05836</c:v>
                </c:pt>
                <c:pt idx="1">
                  <c:v>2079.2661604999998</c:v>
                </c:pt>
                <c:pt idx="2">
                  <c:v>1999.437596</c:v>
                </c:pt>
                <c:pt idx="3">
                  <c:v>0</c:v>
                </c:pt>
              </c:numCache>
            </c:numRef>
          </c:val>
          <c:extLst>
            <c:ext xmlns:c16="http://schemas.microsoft.com/office/drawing/2014/chart" uri="{C3380CC4-5D6E-409C-BE32-E72D297353CC}">
              <c16:uniqueId val="{00000007-63BF-4D35-BAEC-99C6CE9D3F77}"/>
            </c:ext>
          </c:extLst>
        </c:ser>
        <c:ser>
          <c:idx val="0"/>
          <c:order val="1"/>
          <c:tx>
            <c:v>Water</c:v>
          </c:tx>
          <c:spPr>
            <a:solidFill>
              <a:schemeClr val="accent1"/>
            </a:solidFill>
            <a:ln>
              <a:noFill/>
            </a:ln>
            <a:effectLst/>
          </c:spPr>
          <c:invertIfNegative val="0"/>
          <c:cat>
            <c:numRef>
              <c:f>'Summary (old)'!$D$20:$Q$20</c:f>
              <c:numCache>
                <c:formatCode>General</c:formatCode>
                <c:ptCount val="14"/>
                <c:pt idx="0">
                  <c:v>2015</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numCache>
            </c:numRef>
          </c:cat>
          <c:val>
            <c:numRef>
              <c:f>'Summary (old)'!$D$23:$Q$23</c:f>
              <c:numCache>
                <c:formatCode>_(* #,##0.00_);_(* \(#,##0.00\);_(* "-"??_);_(@_)</c:formatCode>
                <c:ptCount val="14"/>
                <c:pt idx="0">
                  <c:v>69.823836</c:v>
                </c:pt>
                <c:pt idx="1">
                  <c:v>133.85541599999999</c:v>
                </c:pt>
                <c:pt idx="2">
                  <c:v>192.98260099999999</c:v>
                </c:pt>
                <c:pt idx="3">
                  <c:v>0</c:v>
                </c:pt>
              </c:numCache>
            </c:numRef>
          </c:val>
          <c:extLst>
            <c:ext xmlns:c16="http://schemas.microsoft.com/office/drawing/2014/chart" uri="{C3380CC4-5D6E-409C-BE32-E72D297353CC}">
              <c16:uniqueId val="{00000008-63BF-4D35-BAEC-99C6CE9D3F77}"/>
            </c:ext>
          </c:extLst>
        </c:ser>
        <c:ser>
          <c:idx val="1"/>
          <c:order val="2"/>
          <c:tx>
            <c:v>Waste 2</c:v>
          </c:tx>
          <c:spPr>
            <a:solidFill>
              <a:schemeClr val="accent2"/>
            </a:solidFill>
            <a:ln>
              <a:noFill/>
            </a:ln>
            <a:effectLst/>
          </c:spPr>
          <c:invertIfNegative val="0"/>
          <c:cat>
            <c:numRef>
              <c:f>'Summary (old)'!$D$20:$Q$20</c:f>
              <c:numCache>
                <c:formatCode>General</c:formatCode>
                <c:ptCount val="14"/>
                <c:pt idx="0">
                  <c:v>2015</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numCache>
            </c:numRef>
          </c:cat>
          <c:val>
            <c:numRef>
              <c:f>'Summary (old)'!$D$25:$Q$25</c:f>
              <c:numCache>
                <c:formatCode>_(* #,##0.00_);_(* \(#,##0.00\);_(* "-"??_);_(@_)</c:formatCode>
                <c:ptCount val="14"/>
              </c:numCache>
            </c:numRef>
          </c:val>
          <c:extLst>
            <c:ext xmlns:c16="http://schemas.microsoft.com/office/drawing/2014/chart" uri="{C3380CC4-5D6E-409C-BE32-E72D297353CC}">
              <c16:uniqueId val="{00000009-63BF-4D35-BAEC-99C6CE9D3F77}"/>
            </c:ext>
          </c:extLst>
        </c:ser>
        <c:ser>
          <c:idx val="2"/>
          <c:order val="3"/>
          <c:tx>
            <c:v>Mobility</c:v>
          </c:tx>
          <c:spPr>
            <a:solidFill>
              <a:schemeClr val="accent3"/>
            </a:solidFill>
            <a:ln>
              <a:noFill/>
            </a:ln>
            <a:effectLst/>
          </c:spPr>
          <c:invertIfNegative val="0"/>
          <c:cat>
            <c:numRef>
              <c:f>'Summary (old)'!$D$20:$Q$20</c:f>
              <c:numCache>
                <c:formatCode>General</c:formatCode>
                <c:ptCount val="14"/>
                <c:pt idx="0">
                  <c:v>2015</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numCache>
            </c:numRef>
          </c:cat>
          <c:val>
            <c:numRef>
              <c:f>'Summary (old)'!$D$26:$Q$26</c:f>
              <c:numCache>
                <c:formatCode>_(* #,##0.00_);_(* \(#,##0.00\);_(* "-"??_);_(@_)</c:formatCode>
                <c:ptCount val="14"/>
              </c:numCache>
            </c:numRef>
          </c:val>
          <c:extLst>
            <c:ext xmlns:c16="http://schemas.microsoft.com/office/drawing/2014/chart" uri="{C3380CC4-5D6E-409C-BE32-E72D297353CC}">
              <c16:uniqueId val="{0000000A-63BF-4D35-BAEC-99C6CE9D3F77}"/>
            </c:ext>
          </c:extLst>
        </c:ser>
        <c:ser>
          <c:idx val="3"/>
          <c:order val="4"/>
          <c:tx>
            <c:v>Greenery</c:v>
          </c:tx>
          <c:spPr>
            <a:solidFill>
              <a:schemeClr val="accent4"/>
            </a:solidFill>
            <a:ln>
              <a:noFill/>
            </a:ln>
            <a:effectLst/>
          </c:spPr>
          <c:invertIfNegative val="0"/>
          <c:cat>
            <c:numRef>
              <c:f>'Summary (old)'!$D$20:$Q$20</c:f>
              <c:numCache>
                <c:formatCode>General</c:formatCode>
                <c:ptCount val="14"/>
                <c:pt idx="0">
                  <c:v>2015</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numCache>
            </c:numRef>
          </c:cat>
          <c:val>
            <c:numRef>
              <c:f>'Summary (old)'!$D$29:$Q$29</c:f>
              <c:numCache>
                <c:formatCode>_(* #,##0.00_);_(* \(#,##0.00\);_(* "-"??_);_(@_)</c:formatCode>
                <c:ptCount val="14"/>
              </c:numCache>
            </c:numRef>
          </c:val>
          <c:extLst>
            <c:ext xmlns:c16="http://schemas.microsoft.com/office/drawing/2014/chart" uri="{C3380CC4-5D6E-409C-BE32-E72D297353CC}">
              <c16:uniqueId val="{0000000B-63BF-4D35-BAEC-99C6CE9D3F77}"/>
            </c:ext>
          </c:extLst>
        </c:ser>
        <c:dLbls>
          <c:showLegendKey val="0"/>
          <c:showVal val="0"/>
          <c:showCatName val="0"/>
          <c:showSerName val="0"/>
          <c:showPercent val="0"/>
          <c:showBubbleSize val="0"/>
        </c:dLbls>
        <c:gapWidth val="219"/>
        <c:overlap val="100"/>
        <c:axId val="306049288"/>
        <c:axId val="306057488"/>
      </c:barChart>
      <c:lineChart>
        <c:grouping val="standard"/>
        <c:varyColors val="0"/>
        <c:ser>
          <c:idx val="4"/>
          <c:order val="5"/>
          <c:tx>
            <c:v>Total Emissions</c:v>
          </c:tx>
          <c:spPr>
            <a:ln w="57150" cap="rnd">
              <a:solidFill>
                <a:srgbClr val="92D050"/>
              </a:solidFill>
              <a:round/>
            </a:ln>
            <a:effectLst/>
          </c:spPr>
          <c:marker>
            <c:symbol val="circle"/>
            <c:size val="5"/>
            <c:spPr>
              <a:solidFill>
                <a:srgbClr val="92D050"/>
              </a:solidFill>
              <a:ln w="57150">
                <a:solidFill>
                  <a:srgbClr val="92D050"/>
                </a:solidFill>
              </a:ln>
              <a:effectLst/>
            </c:spPr>
          </c:marker>
          <c:val>
            <c:numRef>
              <c:f>'Summary (old)'!$D$27:$Q$27</c:f>
              <c:numCache>
                <c:formatCode>_(* #,##0.00_);_(* \(#,##0.00\);_(* "-"??_);_(@_)</c:formatCode>
                <c:ptCount val="14"/>
                <c:pt idx="0">
                  <c:v>2721.8145777999998</c:v>
                </c:pt>
                <c:pt idx="1">
                  <c:v>3322.8387960999999</c:v>
                </c:pt>
                <c:pt idx="2">
                  <c:v>3323.2525433999999</c:v>
                </c:pt>
                <c:pt idx="3">
                  <c:v>0</c:v>
                </c:pt>
                <c:pt idx="4">
                  <c:v>0</c:v>
                </c:pt>
                <c:pt idx="5">
                  <c:v>0</c:v>
                </c:pt>
                <c:pt idx="6">
                  <c:v>0</c:v>
                </c:pt>
                <c:pt idx="7">
                  <c:v>0</c:v>
                </c:pt>
                <c:pt idx="8">
                  <c:v>0</c:v>
                </c:pt>
                <c:pt idx="9">
                  <c:v>0</c:v>
                </c:pt>
                <c:pt idx="10">
                  <c:v>0</c:v>
                </c:pt>
                <c:pt idx="11">
                  <c:v>0</c:v>
                </c:pt>
                <c:pt idx="12">
                  <c:v>0</c:v>
                </c:pt>
                <c:pt idx="13">
                  <c:v>0</c:v>
                </c:pt>
              </c:numCache>
            </c:numRef>
          </c:val>
          <c:smooth val="0"/>
          <c:extLst>
            <c:ext xmlns:c16="http://schemas.microsoft.com/office/drawing/2014/chart" uri="{C3380CC4-5D6E-409C-BE32-E72D297353CC}">
              <c16:uniqueId val="{0000000C-63BF-4D35-BAEC-99C6CE9D3F77}"/>
            </c:ext>
          </c:extLst>
        </c:ser>
        <c:ser>
          <c:idx val="5"/>
          <c:order val="6"/>
          <c:tx>
            <c:v>BAU</c:v>
          </c:tx>
          <c:spPr>
            <a:ln w="28575" cap="rnd">
              <a:solidFill>
                <a:srgbClr val="FF0000"/>
              </a:solidFill>
              <a:round/>
            </a:ln>
            <a:effectLst/>
          </c:spPr>
          <c:marker>
            <c:symbol val="circle"/>
            <c:size val="5"/>
            <c:spPr>
              <a:solidFill>
                <a:srgbClr val="FF0000"/>
              </a:solidFill>
              <a:ln w="9525">
                <a:solidFill>
                  <a:srgbClr val="FF0000"/>
                </a:solidFill>
              </a:ln>
              <a:effectLst/>
            </c:spPr>
          </c:marker>
          <c:val>
            <c:numRef>
              <c:f>'Summary (old)'!$D$21:$Q$21</c:f>
              <c:numCache>
                <c:formatCode>_(* #,##0.00_);_(* \(#,##0.00\);_(* "-"??_);_(@_)</c:formatCode>
                <c:ptCount val="14"/>
                <c:pt idx="0">
                  <c:v>2721.8145777999998</c:v>
                </c:pt>
                <c:pt idx="1">
                  <c:v>2721.8145777999998</c:v>
                </c:pt>
                <c:pt idx="2">
                  <c:v>2721.8145777999998</c:v>
                </c:pt>
                <c:pt idx="3">
                  <c:v>2721.8145777999998</c:v>
                </c:pt>
                <c:pt idx="4">
                  <c:v>2721.8145777999998</c:v>
                </c:pt>
                <c:pt idx="5">
                  <c:v>2721.8145777999998</c:v>
                </c:pt>
                <c:pt idx="6">
                  <c:v>2721.8145777999998</c:v>
                </c:pt>
                <c:pt idx="7">
                  <c:v>2721.8145777999998</c:v>
                </c:pt>
                <c:pt idx="8">
                  <c:v>2721.8145777999998</c:v>
                </c:pt>
                <c:pt idx="9">
                  <c:v>2721.8145777999998</c:v>
                </c:pt>
                <c:pt idx="10">
                  <c:v>2721.8145777999998</c:v>
                </c:pt>
                <c:pt idx="11">
                  <c:v>2721.8145777999998</c:v>
                </c:pt>
                <c:pt idx="12">
                  <c:v>2721.8145777999998</c:v>
                </c:pt>
                <c:pt idx="13">
                  <c:v>2721.8145777999998</c:v>
                </c:pt>
              </c:numCache>
            </c:numRef>
          </c:val>
          <c:smooth val="0"/>
          <c:extLst>
            <c:ext xmlns:c16="http://schemas.microsoft.com/office/drawing/2014/chart" uri="{C3380CC4-5D6E-409C-BE32-E72D297353CC}">
              <c16:uniqueId val="{0000000E-63BF-4D35-BAEC-99C6CE9D3F77}"/>
            </c:ext>
          </c:extLst>
        </c:ser>
        <c:dLbls>
          <c:showLegendKey val="0"/>
          <c:showVal val="0"/>
          <c:showCatName val="0"/>
          <c:showSerName val="0"/>
          <c:showPercent val="0"/>
          <c:showBubbleSize val="0"/>
        </c:dLbls>
        <c:marker val="1"/>
        <c:smooth val="0"/>
        <c:axId val="306049288"/>
        <c:axId val="306057488"/>
      </c:lineChart>
      <c:catAx>
        <c:axId val="306049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6057488"/>
        <c:crosses val="autoZero"/>
        <c:auto val="1"/>
        <c:lblAlgn val="ctr"/>
        <c:lblOffset val="100"/>
        <c:noMultiLvlLbl val="0"/>
      </c:catAx>
      <c:valAx>
        <c:axId val="306057488"/>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6049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cap="none" spc="0" normalizeH="0" baseline="0">
                <a:solidFill>
                  <a:schemeClr val="tx1">
                    <a:lumMod val="65000"/>
                    <a:lumOff val="35000"/>
                  </a:schemeClr>
                </a:solidFill>
                <a:latin typeface="+mj-lt"/>
                <a:ea typeface="+mj-ea"/>
                <a:cs typeface="+mj-cs"/>
              </a:defRPr>
            </a:pPr>
            <a:r>
              <a:rPr lang="en-MY" sz="1100"/>
              <a:t>ANNUAL WATER CONSUMPTION &amp; GHG EMISSIONS</a:t>
            </a:r>
          </a:p>
        </c:rich>
      </c:tx>
      <c:overlay val="0"/>
      <c:spPr>
        <a:noFill/>
        <a:ln>
          <a:noFill/>
        </a:ln>
        <a:effectLst/>
      </c:spPr>
      <c:txPr>
        <a:bodyPr rot="0" spcFirstLastPara="1" vertOverflow="ellipsis" vert="horz" wrap="square" anchor="ctr" anchorCtr="1"/>
        <a:lstStyle/>
        <a:p>
          <a:pPr>
            <a:defRPr sz="1100" b="0" i="0" u="none" strike="noStrike" kern="1200" cap="none" spc="0" normalizeH="0" baseline="0">
              <a:solidFill>
                <a:schemeClr val="tx1">
                  <a:lumMod val="65000"/>
                  <a:lumOff val="35000"/>
                </a:schemeClr>
              </a:solidFill>
              <a:latin typeface="+mj-lt"/>
              <a:ea typeface="+mj-ea"/>
              <a:cs typeface="+mj-cs"/>
            </a:defRPr>
          </a:pPr>
          <a:endParaRPr lang="en-US"/>
        </a:p>
      </c:txPr>
    </c:title>
    <c:autoTitleDeleted val="0"/>
    <c:plotArea>
      <c:layout/>
      <c:barChart>
        <c:barDir val="col"/>
        <c:grouping val="clustered"/>
        <c:varyColors val="0"/>
        <c:ser>
          <c:idx val="1"/>
          <c:order val="1"/>
          <c:tx>
            <c:v>Emissions</c:v>
          </c:tx>
          <c:spPr>
            <a:solidFill>
              <a:schemeClr val="accent5"/>
            </a:solidFill>
            <a:ln>
              <a:noFill/>
            </a:ln>
            <a:effectLst/>
          </c:spPr>
          <c:invertIfNegative val="0"/>
          <c:cat>
            <c:numRef>
              <c:f>Water!$D$15:$I$15</c:f>
              <c:numCache>
                <c:formatCode>General</c:formatCode>
                <c:ptCount val="6"/>
                <c:pt idx="0">
                  <c:v>2017</c:v>
                </c:pt>
                <c:pt idx="1">
                  <c:v>2018</c:v>
                </c:pt>
                <c:pt idx="2">
                  <c:v>2019</c:v>
                </c:pt>
                <c:pt idx="3">
                  <c:v>2020</c:v>
                </c:pt>
                <c:pt idx="4">
                  <c:v>2021</c:v>
                </c:pt>
                <c:pt idx="5">
                  <c:v>2022</c:v>
                </c:pt>
              </c:numCache>
            </c:numRef>
          </c:cat>
          <c:val>
            <c:numRef>
              <c:f>Water!$D$28:$I$28</c:f>
              <c:numCache>
                <c:formatCode>0.00</c:formatCode>
                <c:ptCount val="6"/>
                <c:pt idx="0">
                  <c:v>69.823836</c:v>
                </c:pt>
                <c:pt idx="1">
                  <c:v>133.85541599999999</c:v>
                </c:pt>
                <c:pt idx="2">
                  <c:v>192.98260099999999</c:v>
                </c:pt>
                <c:pt idx="3">
                  <c:v>0</c:v>
                </c:pt>
                <c:pt idx="4">
                  <c:v>0</c:v>
                </c:pt>
                <c:pt idx="5">
                  <c:v>0</c:v>
                </c:pt>
              </c:numCache>
            </c:numRef>
          </c:val>
          <c:extLst>
            <c:ext xmlns:c16="http://schemas.microsoft.com/office/drawing/2014/chart" uri="{C3380CC4-5D6E-409C-BE32-E72D297353CC}">
              <c16:uniqueId val="{00000000-C50C-46C9-8B07-A37C47EAEA09}"/>
            </c:ext>
          </c:extLst>
        </c:ser>
        <c:dLbls>
          <c:showLegendKey val="0"/>
          <c:showVal val="0"/>
          <c:showCatName val="0"/>
          <c:showSerName val="0"/>
          <c:showPercent val="0"/>
          <c:showBubbleSize val="0"/>
        </c:dLbls>
        <c:gapWidth val="75"/>
        <c:axId val="488553880"/>
        <c:axId val="488551256"/>
      </c:barChart>
      <c:lineChart>
        <c:grouping val="standard"/>
        <c:varyColors val="0"/>
        <c:ser>
          <c:idx val="0"/>
          <c:order val="0"/>
          <c:tx>
            <c:v>Water Consumption</c:v>
          </c:tx>
          <c:spPr>
            <a:ln w="38100" cap="rnd">
              <a:solidFill>
                <a:schemeClr val="accent6"/>
              </a:solidFill>
              <a:round/>
            </a:ln>
            <a:effectLst/>
          </c:spPr>
          <c:marker>
            <c:symbol val="circle"/>
            <c:size val="8"/>
            <c:spPr>
              <a:solidFill>
                <a:schemeClr val="accent6"/>
              </a:solidFill>
              <a:ln>
                <a:noFill/>
              </a:ln>
              <a:effectLst/>
            </c:spPr>
          </c:marker>
          <c:cat>
            <c:numRef>
              <c:f>Water!$D$15:$I$15</c:f>
              <c:numCache>
                <c:formatCode>General</c:formatCode>
                <c:ptCount val="6"/>
                <c:pt idx="0">
                  <c:v>2017</c:v>
                </c:pt>
                <c:pt idx="1">
                  <c:v>2018</c:v>
                </c:pt>
                <c:pt idx="2">
                  <c:v>2019</c:v>
                </c:pt>
                <c:pt idx="3">
                  <c:v>2020</c:v>
                </c:pt>
                <c:pt idx="4">
                  <c:v>2021</c:v>
                </c:pt>
                <c:pt idx="5">
                  <c:v>2022</c:v>
                </c:pt>
              </c:numCache>
            </c:numRef>
          </c:cat>
          <c:val>
            <c:numRef>
              <c:f>Water!$D$27:$I$27</c:f>
              <c:numCache>
                <c:formatCode>_-* #,##0_-;\-* #,##0_-;_-* "-"??_-;_-@_-</c:formatCode>
                <c:ptCount val="6"/>
                <c:pt idx="0">
                  <c:v>166644</c:v>
                </c:pt>
                <c:pt idx="1">
                  <c:v>319464</c:v>
                </c:pt>
                <c:pt idx="2">
                  <c:v>460579</c:v>
                </c:pt>
                <c:pt idx="3">
                  <c:v>0</c:v>
                </c:pt>
                <c:pt idx="4" formatCode="_(* #,##0.00_);_(* \(#,##0.00\);_(* &quot;-&quot;??_);_(@_)">
                  <c:v>0</c:v>
                </c:pt>
                <c:pt idx="5" formatCode="_(* #,##0.00_);_(* \(#,##0.00\);_(* &quot;-&quot;??_);_(@_)">
                  <c:v>0</c:v>
                </c:pt>
              </c:numCache>
            </c:numRef>
          </c:val>
          <c:smooth val="0"/>
          <c:extLst>
            <c:ext xmlns:c16="http://schemas.microsoft.com/office/drawing/2014/chart" uri="{C3380CC4-5D6E-409C-BE32-E72D297353CC}">
              <c16:uniqueId val="{00000001-C50C-46C9-8B07-A37C47EAEA09}"/>
            </c:ext>
          </c:extLst>
        </c:ser>
        <c:dLbls>
          <c:showLegendKey val="0"/>
          <c:showVal val="0"/>
          <c:showCatName val="0"/>
          <c:showSerName val="0"/>
          <c:showPercent val="0"/>
          <c:showBubbleSize val="0"/>
        </c:dLbls>
        <c:marker val="1"/>
        <c:smooth val="0"/>
        <c:axId val="488562080"/>
        <c:axId val="488558144"/>
      </c:lineChart>
      <c:valAx>
        <c:axId val="4885512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700" b="0" i="0" u="none" strike="noStrike" kern="1200" cap="none" baseline="0">
                    <a:solidFill>
                      <a:schemeClr val="tx1">
                        <a:lumMod val="65000"/>
                        <a:lumOff val="35000"/>
                      </a:schemeClr>
                    </a:solidFill>
                    <a:latin typeface="+mn-lt"/>
                    <a:ea typeface="+mn-ea"/>
                    <a:cs typeface="+mn-cs"/>
                  </a:defRPr>
                </a:pPr>
                <a:r>
                  <a:rPr lang="en-MY" sz="700" cap="none" baseline="0"/>
                  <a:t>ANNUAL GHG EMISSIONS (t CO2e)</a:t>
                </a:r>
              </a:p>
            </c:rich>
          </c:tx>
          <c:layout>
            <c:manualLayout>
              <c:xMode val="edge"/>
              <c:yMode val="edge"/>
              <c:x val="1.9795224207325098E-2"/>
              <c:y val="0.18678558665353406"/>
            </c:manualLayout>
          </c:layout>
          <c:overlay val="0"/>
          <c:spPr>
            <a:noFill/>
            <a:ln>
              <a:noFill/>
            </a:ln>
            <a:effectLst/>
          </c:spPr>
          <c:txPr>
            <a:bodyPr rot="-5400000" spcFirstLastPara="1" vertOverflow="ellipsis" vert="horz" wrap="square" anchor="ctr" anchorCtr="1"/>
            <a:lstStyle/>
            <a:p>
              <a:pPr>
                <a:defRPr sz="700" b="0" i="0" u="none" strike="noStrike" kern="1200" cap="none"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8553880"/>
        <c:crosses val="autoZero"/>
        <c:crossBetween val="between"/>
      </c:valAx>
      <c:catAx>
        <c:axId val="488553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en-US"/>
          </a:p>
        </c:txPr>
        <c:crossAx val="488551256"/>
        <c:crosses val="autoZero"/>
        <c:auto val="1"/>
        <c:lblAlgn val="ctr"/>
        <c:lblOffset val="100"/>
        <c:noMultiLvlLbl val="0"/>
      </c:catAx>
      <c:valAx>
        <c:axId val="488558144"/>
        <c:scaling>
          <c:orientation val="minMax"/>
        </c:scaling>
        <c:delete val="0"/>
        <c:axPos val="r"/>
        <c:title>
          <c:tx>
            <c:rich>
              <a:bodyPr rot="-5400000" spcFirstLastPara="1" vertOverflow="ellipsis" vert="horz" wrap="square" anchor="ctr" anchorCtr="1"/>
              <a:lstStyle/>
              <a:p>
                <a:pPr>
                  <a:defRPr sz="700" b="0" i="0" u="none" strike="noStrike" kern="1200" cap="all" baseline="0">
                    <a:solidFill>
                      <a:schemeClr val="tx1">
                        <a:lumMod val="65000"/>
                        <a:lumOff val="35000"/>
                      </a:schemeClr>
                    </a:solidFill>
                    <a:latin typeface="+mn-lt"/>
                    <a:ea typeface="+mn-ea"/>
                    <a:cs typeface="+mn-cs"/>
                  </a:defRPr>
                </a:pPr>
                <a:r>
                  <a:rPr lang="en-MY" sz="700" cap="none" baseline="0"/>
                  <a:t>ANNUAL WATER CONSMUPTION (m3)</a:t>
                </a:r>
              </a:p>
            </c:rich>
          </c:tx>
          <c:layout>
            <c:manualLayout>
              <c:xMode val="edge"/>
              <c:yMode val="edge"/>
              <c:x val="0.95921075419284674"/>
              <c:y val="9.647293139365623E-2"/>
            </c:manualLayout>
          </c:layout>
          <c:overlay val="0"/>
          <c:spPr>
            <a:noFill/>
            <a:ln>
              <a:noFill/>
            </a:ln>
            <a:effectLst/>
          </c:spPr>
          <c:txPr>
            <a:bodyPr rot="-5400000" spcFirstLastPara="1" vertOverflow="ellipsis" vert="horz" wrap="square" anchor="ctr" anchorCtr="1"/>
            <a:lstStyle/>
            <a:p>
              <a:pPr>
                <a:defRPr sz="700" b="0" i="0" u="none" strike="noStrike" kern="1200" cap="all" baseline="0">
                  <a:solidFill>
                    <a:schemeClr val="tx1">
                      <a:lumMod val="65000"/>
                      <a:lumOff val="35000"/>
                    </a:schemeClr>
                  </a:solidFill>
                  <a:latin typeface="+mn-lt"/>
                  <a:ea typeface="+mn-ea"/>
                  <a:cs typeface="+mn-cs"/>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8562080"/>
        <c:crosses val="max"/>
        <c:crossBetween val="between"/>
      </c:valAx>
      <c:catAx>
        <c:axId val="488562080"/>
        <c:scaling>
          <c:orientation val="minMax"/>
        </c:scaling>
        <c:delete val="1"/>
        <c:axPos val="b"/>
        <c:numFmt formatCode="General" sourceLinked="1"/>
        <c:majorTickMark val="out"/>
        <c:minorTickMark val="none"/>
        <c:tickLblPos val="nextTo"/>
        <c:crossAx val="48855814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paperSize="8"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cap="none" spc="0" normalizeH="0" baseline="0">
                <a:solidFill>
                  <a:schemeClr val="tx1">
                    <a:lumMod val="65000"/>
                    <a:lumOff val="35000"/>
                  </a:schemeClr>
                </a:solidFill>
                <a:latin typeface="+mj-lt"/>
                <a:ea typeface="+mj-ea"/>
                <a:cs typeface="+mj-cs"/>
              </a:defRPr>
            </a:pPr>
            <a:r>
              <a:rPr lang="en-MY" sz="1100"/>
              <a:t>ANNUAL WASTE</a:t>
            </a:r>
            <a:r>
              <a:rPr lang="en-MY" sz="1100" baseline="0"/>
              <a:t> GENERATION</a:t>
            </a:r>
            <a:r>
              <a:rPr lang="en-MY" sz="1100"/>
              <a:t> &amp; GHG EMISSIONS</a:t>
            </a:r>
          </a:p>
        </c:rich>
      </c:tx>
      <c:overlay val="0"/>
      <c:spPr>
        <a:noFill/>
        <a:ln>
          <a:noFill/>
        </a:ln>
        <a:effectLst/>
      </c:spPr>
      <c:txPr>
        <a:bodyPr rot="0" spcFirstLastPara="1" vertOverflow="ellipsis" vert="horz" wrap="square" anchor="ctr" anchorCtr="1"/>
        <a:lstStyle/>
        <a:p>
          <a:pPr>
            <a:defRPr sz="1100" b="0" i="0" u="none" strike="noStrike" kern="1200" cap="none" spc="0" normalizeH="0" baseline="0">
              <a:solidFill>
                <a:schemeClr val="tx1">
                  <a:lumMod val="65000"/>
                  <a:lumOff val="35000"/>
                </a:schemeClr>
              </a:solidFill>
              <a:latin typeface="+mj-lt"/>
              <a:ea typeface="+mj-ea"/>
              <a:cs typeface="+mj-cs"/>
            </a:defRPr>
          </a:pPr>
          <a:endParaRPr lang="en-US"/>
        </a:p>
      </c:txPr>
    </c:title>
    <c:autoTitleDeleted val="0"/>
    <c:plotArea>
      <c:layout/>
      <c:barChart>
        <c:barDir val="col"/>
        <c:grouping val="clustered"/>
        <c:varyColors val="0"/>
        <c:ser>
          <c:idx val="1"/>
          <c:order val="1"/>
          <c:tx>
            <c:v>Emissions</c:v>
          </c:tx>
          <c:spPr>
            <a:solidFill>
              <a:schemeClr val="accent5"/>
            </a:solidFill>
            <a:ln>
              <a:noFill/>
            </a:ln>
            <a:effectLst/>
          </c:spPr>
          <c:invertIfNegative val="0"/>
          <c:cat>
            <c:numRef>
              <c:f>'Waste 1 - Actual'!$D$15:$I$15</c:f>
              <c:numCache>
                <c:formatCode>General</c:formatCode>
                <c:ptCount val="6"/>
                <c:pt idx="0">
                  <c:v>2017</c:v>
                </c:pt>
                <c:pt idx="1">
                  <c:v>2018</c:v>
                </c:pt>
                <c:pt idx="2">
                  <c:v>2019</c:v>
                </c:pt>
                <c:pt idx="3">
                  <c:v>2020</c:v>
                </c:pt>
                <c:pt idx="4">
                  <c:v>2021</c:v>
                </c:pt>
                <c:pt idx="5">
                  <c:v>2022</c:v>
                </c:pt>
              </c:numCache>
            </c:numRef>
          </c:cat>
          <c:val>
            <c:numRef>
              <c:f>'Waste 1 - Actual'!$D$28:$I$28</c:f>
              <c:numCache>
                <c:formatCode>0.00</c:formatCode>
                <c:ptCount val="6"/>
                <c:pt idx="0">
                  <c:v>812.93238180000003</c:v>
                </c:pt>
                <c:pt idx="1">
                  <c:v>1109.7172195999999</c:v>
                </c:pt>
                <c:pt idx="2">
                  <c:v>1130.8323464</c:v>
                </c:pt>
                <c:pt idx="3">
                  <c:v>0</c:v>
                </c:pt>
                <c:pt idx="4">
                  <c:v>0</c:v>
                </c:pt>
                <c:pt idx="5">
                  <c:v>0</c:v>
                </c:pt>
              </c:numCache>
            </c:numRef>
          </c:val>
          <c:extLst>
            <c:ext xmlns:c16="http://schemas.microsoft.com/office/drawing/2014/chart" uri="{C3380CC4-5D6E-409C-BE32-E72D297353CC}">
              <c16:uniqueId val="{00000000-6D3C-4FBA-8216-A87F11246CEB}"/>
            </c:ext>
          </c:extLst>
        </c:ser>
        <c:dLbls>
          <c:showLegendKey val="0"/>
          <c:showVal val="0"/>
          <c:showCatName val="0"/>
          <c:showSerName val="0"/>
          <c:showPercent val="0"/>
          <c:showBubbleSize val="0"/>
        </c:dLbls>
        <c:gapWidth val="75"/>
        <c:axId val="488553880"/>
        <c:axId val="488551256"/>
      </c:barChart>
      <c:lineChart>
        <c:grouping val="standard"/>
        <c:varyColors val="0"/>
        <c:ser>
          <c:idx val="0"/>
          <c:order val="0"/>
          <c:tx>
            <c:v>Waste Generation</c:v>
          </c:tx>
          <c:spPr>
            <a:ln w="38100" cap="rnd">
              <a:solidFill>
                <a:schemeClr val="accent6"/>
              </a:solidFill>
              <a:round/>
            </a:ln>
            <a:effectLst/>
          </c:spPr>
          <c:marker>
            <c:symbol val="circle"/>
            <c:size val="8"/>
            <c:spPr>
              <a:solidFill>
                <a:schemeClr val="accent6"/>
              </a:solidFill>
              <a:ln>
                <a:noFill/>
              </a:ln>
              <a:effectLst/>
            </c:spPr>
          </c:marker>
          <c:cat>
            <c:numRef>
              <c:f>'Waste 1 - Actual'!$D$15:$I$15</c:f>
              <c:numCache>
                <c:formatCode>General</c:formatCode>
                <c:ptCount val="6"/>
                <c:pt idx="0">
                  <c:v>2017</c:v>
                </c:pt>
                <c:pt idx="1">
                  <c:v>2018</c:v>
                </c:pt>
                <c:pt idx="2">
                  <c:v>2019</c:v>
                </c:pt>
                <c:pt idx="3">
                  <c:v>2020</c:v>
                </c:pt>
                <c:pt idx="4">
                  <c:v>2021</c:v>
                </c:pt>
                <c:pt idx="5">
                  <c:v>2022</c:v>
                </c:pt>
              </c:numCache>
            </c:numRef>
          </c:cat>
          <c:val>
            <c:numRef>
              <c:f>'Waste 1 - Actual'!$D$27:$I$27</c:f>
              <c:numCache>
                <c:formatCode>General</c:formatCode>
                <c:ptCount val="6"/>
                <c:pt idx="0">
                  <c:v>1386</c:v>
                </c:pt>
                <c:pt idx="1">
                  <c:v>1892</c:v>
                </c:pt>
                <c:pt idx="2">
                  <c:v>1928</c:v>
                </c:pt>
                <c:pt idx="3">
                  <c:v>0</c:v>
                </c:pt>
                <c:pt idx="4">
                  <c:v>0</c:v>
                </c:pt>
                <c:pt idx="5">
                  <c:v>0</c:v>
                </c:pt>
              </c:numCache>
            </c:numRef>
          </c:val>
          <c:smooth val="0"/>
          <c:extLst>
            <c:ext xmlns:c16="http://schemas.microsoft.com/office/drawing/2014/chart" uri="{C3380CC4-5D6E-409C-BE32-E72D297353CC}">
              <c16:uniqueId val="{00000001-6D3C-4FBA-8216-A87F11246CEB}"/>
            </c:ext>
          </c:extLst>
        </c:ser>
        <c:dLbls>
          <c:showLegendKey val="0"/>
          <c:showVal val="0"/>
          <c:showCatName val="0"/>
          <c:showSerName val="0"/>
          <c:showPercent val="0"/>
          <c:showBubbleSize val="0"/>
        </c:dLbls>
        <c:marker val="1"/>
        <c:smooth val="0"/>
        <c:axId val="488562080"/>
        <c:axId val="488558144"/>
      </c:lineChart>
      <c:valAx>
        <c:axId val="4885512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700" b="0" i="0" u="none" strike="noStrike" kern="1200" cap="none" baseline="0">
                    <a:solidFill>
                      <a:schemeClr val="tx1">
                        <a:lumMod val="65000"/>
                        <a:lumOff val="35000"/>
                      </a:schemeClr>
                    </a:solidFill>
                    <a:latin typeface="+mn-lt"/>
                    <a:ea typeface="+mn-ea"/>
                    <a:cs typeface="+mn-cs"/>
                  </a:defRPr>
                </a:pPr>
                <a:r>
                  <a:rPr lang="en-MY" sz="700" cap="none" baseline="0"/>
                  <a:t>ANNUAL GHG EMISSIONS (t CO2e)</a:t>
                </a:r>
              </a:p>
            </c:rich>
          </c:tx>
          <c:layout>
            <c:manualLayout>
              <c:xMode val="edge"/>
              <c:yMode val="edge"/>
              <c:x val="1.9795224207325098E-2"/>
              <c:y val="0.18678558665353406"/>
            </c:manualLayout>
          </c:layout>
          <c:overlay val="0"/>
          <c:spPr>
            <a:noFill/>
            <a:ln>
              <a:noFill/>
            </a:ln>
            <a:effectLst/>
          </c:spPr>
          <c:txPr>
            <a:bodyPr rot="-5400000" spcFirstLastPara="1" vertOverflow="ellipsis" vert="horz" wrap="square" anchor="ctr" anchorCtr="1"/>
            <a:lstStyle/>
            <a:p>
              <a:pPr>
                <a:defRPr sz="700" b="0" i="0" u="none" strike="noStrike" kern="1200" cap="none"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8553880"/>
        <c:crosses val="autoZero"/>
        <c:crossBetween val="between"/>
      </c:valAx>
      <c:catAx>
        <c:axId val="488553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en-US"/>
          </a:p>
        </c:txPr>
        <c:crossAx val="488551256"/>
        <c:crosses val="autoZero"/>
        <c:auto val="1"/>
        <c:lblAlgn val="ctr"/>
        <c:lblOffset val="100"/>
        <c:noMultiLvlLbl val="0"/>
      </c:catAx>
      <c:valAx>
        <c:axId val="488558144"/>
        <c:scaling>
          <c:orientation val="minMax"/>
        </c:scaling>
        <c:delete val="0"/>
        <c:axPos val="r"/>
        <c:title>
          <c:tx>
            <c:rich>
              <a:bodyPr rot="-5400000" spcFirstLastPara="1" vertOverflow="ellipsis" vert="horz" wrap="square" anchor="ctr" anchorCtr="1"/>
              <a:lstStyle/>
              <a:p>
                <a:pPr>
                  <a:defRPr sz="700" b="0" i="0" u="none" strike="noStrike" kern="1200" cap="all" baseline="0">
                    <a:solidFill>
                      <a:schemeClr val="tx1">
                        <a:lumMod val="65000"/>
                        <a:lumOff val="35000"/>
                      </a:schemeClr>
                    </a:solidFill>
                    <a:latin typeface="+mn-lt"/>
                    <a:ea typeface="+mn-ea"/>
                    <a:cs typeface="+mn-cs"/>
                  </a:defRPr>
                </a:pPr>
                <a:r>
                  <a:rPr lang="en-MY" sz="700" cap="none" baseline="0"/>
                  <a:t>ANNUAL WASTE GENERATION (tonne)</a:t>
                </a:r>
              </a:p>
            </c:rich>
          </c:tx>
          <c:layout>
            <c:manualLayout>
              <c:xMode val="edge"/>
              <c:yMode val="edge"/>
              <c:x val="0.95921071543995962"/>
              <c:y val="0.16091740867753687"/>
            </c:manualLayout>
          </c:layout>
          <c:overlay val="0"/>
          <c:spPr>
            <a:noFill/>
            <a:ln>
              <a:noFill/>
            </a:ln>
            <a:effectLst/>
          </c:spPr>
          <c:txPr>
            <a:bodyPr rot="-5400000" spcFirstLastPara="1" vertOverflow="ellipsis" vert="horz" wrap="square" anchor="ctr" anchorCtr="1"/>
            <a:lstStyle/>
            <a:p>
              <a:pPr>
                <a:defRPr sz="700" b="0" i="0" u="none" strike="noStrike" kern="1200" cap="all"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8562080"/>
        <c:crosses val="max"/>
        <c:crossBetween val="between"/>
      </c:valAx>
      <c:catAx>
        <c:axId val="488562080"/>
        <c:scaling>
          <c:orientation val="minMax"/>
        </c:scaling>
        <c:delete val="1"/>
        <c:axPos val="b"/>
        <c:numFmt formatCode="General" sourceLinked="1"/>
        <c:majorTickMark val="out"/>
        <c:minorTickMark val="none"/>
        <c:tickLblPos val="nextTo"/>
        <c:crossAx val="48855814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cap="none" spc="0" normalizeH="0" baseline="0">
                <a:solidFill>
                  <a:schemeClr val="tx1">
                    <a:lumMod val="65000"/>
                    <a:lumOff val="35000"/>
                  </a:schemeClr>
                </a:solidFill>
                <a:latin typeface="+mj-lt"/>
                <a:ea typeface="+mj-ea"/>
                <a:cs typeface="+mj-cs"/>
              </a:defRPr>
            </a:pPr>
            <a:r>
              <a:rPr lang="en-MY" sz="1100"/>
              <a:t>ANNUAL WASTE</a:t>
            </a:r>
            <a:r>
              <a:rPr lang="en-MY" sz="1100" baseline="0"/>
              <a:t> GENERATED, WASTE RECYCLED</a:t>
            </a:r>
            <a:r>
              <a:rPr lang="en-MY" sz="1100"/>
              <a:t> &amp; GHG EMISSIONS</a:t>
            </a:r>
          </a:p>
        </c:rich>
      </c:tx>
      <c:overlay val="0"/>
      <c:spPr>
        <a:noFill/>
        <a:ln>
          <a:noFill/>
        </a:ln>
        <a:effectLst/>
      </c:spPr>
      <c:txPr>
        <a:bodyPr rot="0" spcFirstLastPara="1" vertOverflow="ellipsis" vert="horz" wrap="square" anchor="ctr" anchorCtr="1"/>
        <a:lstStyle/>
        <a:p>
          <a:pPr>
            <a:defRPr sz="1100" b="0" i="0" u="none" strike="noStrike" kern="1200" cap="none" spc="0" normalizeH="0" baseline="0">
              <a:solidFill>
                <a:schemeClr val="tx1">
                  <a:lumMod val="65000"/>
                  <a:lumOff val="35000"/>
                </a:schemeClr>
              </a:solidFill>
              <a:latin typeface="+mj-lt"/>
              <a:ea typeface="+mj-ea"/>
              <a:cs typeface="+mj-cs"/>
            </a:defRPr>
          </a:pPr>
          <a:endParaRPr lang="en-US"/>
        </a:p>
      </c:txPr>
    </c:title>
    <c:autoTitleDeleted val="0"/>
    <c:plotArea>
      <c:layout/>
      <c:barChart>
        <c:barDir val="col"/>
        <c:grouping val="clustered"/>
        <c:varyColors val="0"/>
        <c:ser>
          <c:idx val="1"/>
          <c:order val="1"/>
          <c:tx>
            <c:v>Emissions</c:v>
          </c:tx>
          <c:spPr>
            <a:solidFill>
              <a:schemeClr val="accent5"/>
            </a:solidFill>
            <a:ln>
              <a:noFill/>
            </a:ln>
            <a:effectLst/>
          </c:spPr>
          <c:invertIfNegative val="0"/>
          <c:cat>
            <c:numRef>
              <c:f>'Waste 2 - Estimate'!$D$15:$I$15</c:f>
              <c:numCache>
                <c:formatCode>General</c:formatCode>
                <c:ptCount val="6"/>
                <c:pt idx="1">
                  <c:v>2017</c:v>
                </c:pt>
                <c:pt idx="2">
                  <c:v>2018</c:v>
                </c:pt>
                <c:pt idx="3">
                  <c:v>2019</c:v>
                </c:pt>
                <c:pt idx="4">
                  <c:v>2020</c:v>
                </c:pt>
                <c:pt idx="5">
                  <c:v>2021</c:v>
                </c:pt>
              </c:numCache>
            </c:numRef>
          </c:cat>
          <c:val>
            <c:numRef>
              <c:f>'Waste 2 - Estimate'!$D$29:$I$29</c:f>
              <c:numCache>
                <c:formatCode>0.00</c:formatCode>
                <c:ptCount val="6"/>
                <c:pt idx="0">
                  <c:v>881.49055912874996</c:v>
                </c:pt>
                <c:pt idx="1">
                  <c:v>744.24223492875001</c:v>
                </c:pt>
                <c:pt idx="2">
                  <c:v>679.13726062874991</c:v>
                </c:pt>
                <c:pt idx="3">
                  <c:v>558.89834412875007</c:v>
                </c:pt>
                <c:pt idx="4">
                  <c:v>0</c:v>
                </c:pt>
                <c:pt idx="5">
                  <c:v>0</c:v>
                </c:pt>
              </c:numCache>
            </c:numRef>
          </c:val>
          <c:extLst>
            <c:ext xmlns:c16="http://schemas.microsoft.com/office/drawing/2014/chart" uri="{C3380CC4-5D6E-409C-BE32-E72D297353CC}">
              <c16:uniqueId val="{00000000-097A-44E4-B9FB-4DBAB089745E}"/>
            </c:ext>
          </c:extLst>
        </c:ser>
        <c:dLbls>
          <c:showLegendKey val="0"/>
          <c:showVal val="0"/>
          <c:showCatName val="0"/>
          <c:showSerName val="0"/>
          <c:showPercent val="0"/>
          <c:showBubbleSize val="0"/>
        </c:dLbls>
        <c:gapWidth val="75"/>
        <c:axId val="488553880"/>
        <c:axId val="488551256"/>
      </c:barChart>
      <c:lineChart>
        <c:grouping val="standard"/>
        <c:varyColors val="0"/>
        <c:ser>
          <c:idx val="0"/>
          <c:order val="0"/>
          <c:tx>
            <c:v>Waste Generation</c:v>
          </c:tx>
          <c:spPr>
            <a:ln w="38100" cap="rnd">
              <a:solidFill>
                <a:schemeClr val="accent6"/>
              </a:solidFill>
              <a:round/>
            </a:ln>
            <a:effectLst/>
          </c:spPr>
          <c:marker>
            <c:symbol val="circle"/>
            <c:size val="8"/>
            <c:spPr>
              <a:solidFill>
                <a:schemeClr val="accent6"/>
              </a:solidFill>
              <a:ln>
                <a:noFill/>
              </a:ln>
              <a:effectLst/>
            </c:spPr>
          </c:marker>
          <c:cat>
            <c:numRef>
              <c:f>'Waste 2 - Estimate'!$D$15:$I$15</c:f>
              <c:numCache>
                <c:formatCode>General</c:formatCode>
                <c:ptCount val="6"/>
                <c:pt idx="1">
                  <c:v>2017</c:v>
                </c:pt>
                <c:pt idx="2">
                  <c:v>2018</c:v>
                </c:pt>
                <c:pt idx="3">
                  <c:v>2019</c:v>
                </c:pt>
                <c:pt idx="4">
                  <c:v>2020</c:v>
                </c:pt>
                <c:pt idx="5">
                  <c:v>2021</c:v>
                </c:pt>
              </c:numCache>
            </c:numRef>
          </c:cat>
          <c:val>
            <c:numRef>
              <c:f>'Waste 2 - Estimate'!$D$28:$I$28</c:f>
              <c:numCache>
                <c:formatCode>0.00</c:formatCode>
                <c:ptCount val="6"/>
                <c:pt idx="0" formatCode="General">
                  <c:v>1502.8875</c:v>
                </c:pt>
                <c:pt idx="1">
                  <c:v>1268.8875</c:v>
                </c:pt>
                <c:pt idx="2">
                  <c:v>1157.8875</c:v>
                </c:pt>
                <c:pt idx="3">
                  <c:v>952.88750000000005</c:v>
                </c:pt>
                <c:pt idx="4">
                  <c:v>0</c:v>
                </c:pt>
                <c:pt idx="5">
                  <c:v>0</c:v>
                </c:pt>
              </c:numCache>
            </c:numRef>
          </c:val>
          <c:smooth val="0"/>
          <c:extLst>
            <c:ext xmlns:c16="http://schemas.microsoft.com/office/drawing/2014/chart" uri="{C3380CC4-5D6E-409C-BE32-E72D297353CC}">
              <c16:uniqueId val="{00000001-097A-44E4-B9FB-4DBAB089745E}"/>
            </c:ext>
          </c:extLst>
        </c:ser>
        <c:ser>
          <c:idx val="2"/>
          <c:order val="2"/>
          <c:tx>
            <c:v>Waste Recycled</c:v>
          </c:tx>
          <c:spPr>
            <a:ln w="38100" cap="rnd">
              <a:solidFill>
                <a:schemeClr val="accent4"/>
              </a:solidFill>
              <a:round/>
            </a:ln>
            <a:effectLst/>
          </c:spPr>
          <c:marker>
            <c:symbol val="circle"/>
            <c:size val="8"/>
            <c:spPr>
              <a:solidFill>
                <a:schemeClr val="accent4"/>
              </a:solidFill>
              <a:ln>
                <a:noFill/>
              </a:ln>
              <a:effectLst/>
            </c:spPr>
          </c:marker>
          <c:val>
            <c:numRef>
              <c:f>'Waste 2 - Estimate'!$D$27:$I$27</c:f>
              <c:numCache>
                <c:formatCode>_(* #,##0.00_);_(* \(#,##0.00\);_(* "-"??_);_(@_)</c:formatCode>
                <c:ptCount val="6"/>
                <c:pt idx="1">
                  <c:v>234</c:v>
                </c:pt>
                <c:pt idx="2">
                  <c:v>345</c:v>
                </c:pt>
                <c:pt idx="3">
                  <c:v>550</c:v>
                </c:pt>
                <c:pt idx="4">
                  <c:v>0</c:v>
                </c:pt>
                <c:pt idx="5">
                  <c:v>0</c:v>
                </c:pt>
              </c:numCache>
            </c:numRef>
          </c:val>
          <c:smooth val="0"/>
          <c:extLst>
            <c:ext xmlns:c16="http://schemas.microsoft.com/office/drawing/2014/chart" uri="{C3380CC4-5D6E-409C-BE32-E72D297353CC}">
              <c16:uniqueId val="{00000002-097A-44E4-B9FB-4DBAB089745E}"/>
            </c:ext>
          </c:extLst>
        </c:ser>
        <c:dLbls>
          <c:showLegendKey val="0"/>
          <c:showVal val="0"/>
          <c:showCatName val="0"/>
          <c:showSerName val="0"/>
          <c:showPercent val="0"/>
          <c:showBubbleSize val="0"/>
        </c:dLbls>
        <c:marker val="1"/>
        <c:smooth val="0"/>
        <c:axId val="488562080"/>
        <c:axId val="488558144"/>
      </c:lineChart>
      <c:valAx>
        <c:axId val="4885512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700" b="0" i="0" u="none" strike="noStrike" kern="1200" cap="none" baseline="0">
                    <a:solidFill>
                      <a:schemeClr val="tx1">
                        <a:lumMod val="65000"/>
                        <a:lumOff val="35000"/>
                      </a:schemeClr>
                    </a:solidFill>
                    <a:latin typeface="+mn-lt"/>
                    <a:ea typeface="+mn-ea"/>
                    <a:cs typeface="+mn-cs"/>
                  </a:defRPr>
                </a:pPr>
                <a:r>
                  <a:rPr lang="en-MY" sz="700" cap="none" baseline="0"/>
                  <a:t>ANNUAL GHG EMISSIONS (t CO2e)</a:t>
                </a:r>
              </a:p>
            </c:rich>
          </c:tx>
          <c:layout>
            <c:manualLayout>
              <c:xMode val="edge"/>
              <c:yMode val="edge"/>
              <c:x val="1.9795224207325098E-2"/>
              <c:y val="0.18678558665353406"/>
            </c:manualLayout>
          </c:layout>
          <c:overlay val="0"/>
          <c:spPr>
            <a:noFill/>
            <a:ln>
              <a:noFill/>
            </a:ln>
            <a:effectLst/>
          </c:spPr>
          <c:txPr>
            <a:bodyPr rot="-5400000" spcFirstLastPara="1" vertOverflow="ellipsis" vert="horz" wrap="square" anchor="ctr" anchorCtr="1"/>
            <a:lstStyle/>
            <a:p>
              <a:pPr>
                <a:defRPr sz="700" b="0" i="0" u="none" strike="noStrike" kern="1200" cap="none"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8553880"/>
        <c:crosses val="autoZero"/>
        <c:crossBetween val="between"/>
      </c:valAx>
      <c:catAx>
        <c:axId val="488553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en-US"/>
          </a:p>
        </c:txPr>
        <c:crossAx val="488551256"/>
        <c:crosses val="autoZero"/>
        <c:auto val="1"/>
        <c:lblAlgn val="ctr"/>
        <c:lblOffset val="100"/>
        <c:noMultiLvlLbl val="0"/>
      </c:catAx>
      <c:valAx>
        <c:axId val="488558144"/>
        <c:scaling>
          <c:orientation val="minMax"/>
        </c:scaling>
        <c:delete val="0"/>
        <c:axPos val="r"/>
        <c:title>
          <c:tx>
            <c:rich>
              <a:bodyPr rot="-5400000" spcFirstLastPara="1" vertOverflow="ellipsis" vert="horz" wrap="square" anchor="ctr" anchorCtr="1"/>
              <a:lstStyle/>
              <a:p>
                <a:pPr>
                  <a:defRPr sz="700" b="0" i="0" u="none" strike="noStrike" kern="1200" cap="all" baseline="0">
                    <a:solidFill>
                      <a:schemeClr val="tx1">
                        <a:lumMod val="65000"/>
                        <a:lumOff val="35000"/>
                      </a:schemeClr>
                    </a:solidFill>
                    <a:latin typeface="+mn-lt"/>
                    <a:ea typeface="+mn-ea"/>
                    <a:cs typeface="+mn-cs"/>
                  </a:defRPr>
                </a:pPr>
                <a:r>
                  <a:rPr lang="en-MY" sz="700" cap="none" baseline="0"/>
                  <a:t>ANNUAL WASTE GENERATION (tonne)</a:t>
                </a:r>
              </a:p>
            </c:rich>
          </c:tx>
          <c:layout>
            <c:manualLayout>
              <c:xMode val="edge"/>
              <c:yMode val="edge"/>
              <c:x val="0.95921071543995962"/>
              <c:y val="0.16091740867753687"/>
            </c:manualLayout>
          </c:layout>
          <c:overlay val="0"/>
          <c:spPr>
            <a:noFill/>
            <a:ln>
              <a:noFill/>
            </a:ln>
            <a:effectLst/>
          </c:spPr>
          <c:txPr>
            <a:bodyPr rot="-5400000" spcFirstLastPara="1" vertOverflow="ellipsis" vert="horz" wrap="square" anchor="ctr" anchorCtr="1"/>
            <a:lstStyle/>
            <a:p>
              <a:pPr>
                <a:defRPr sz="700" b="0" i="0" u="none" strike="noStrike" kern="1200" cap="all"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8562080"/>
        <c:crosses val="max"/>
        <c:crossBetween val="between"/>
      </c:valAx>
      <c:catAx>
        <c:axId val="488562080"/>
        <c:scaling>
          <c:orientation val="minMax"/>
        </c:scaling>
        <c:delete val="1"/>
        <c:axPos val="b"/>
        <c:numFmt formatCode="General" sourceLinked="1"/>
        <c:majorTickMark val="out"/>
        <c:minorTickMark val="none"/>
        <c:tickLblPos val="nextTo"/>
        <c:crossAx val="48855814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r>
              <a:rPr lang="en-MY" sz="1100">
                <a:latin typeface="+mj-lt"/>
              </a:rPr>
              <a:t>ANNUAL SEQUESTRATION POTENTIAL</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j-lt"/>
              <a:ea typeface="+mn-ea"/>
              <a:cs typeface="+mn-cs"/>
            </a:defRPr>
          </a:pPr>
          <a:endParaRPr lang="en-US"/>
        </a:p>
      </c:txPr>
    </c:title>
    <c:autoTitleDeleted val="0"/>
    <c:plotArea>
      <c:layout/>
      <c:areaChart>
        <c:grouping val="stacked"/>
        <c:varyColors val="0"/>
        <c:ser>
          <c:idx val="1"/>
          <c:order val="0"/>
          <c:spPr>
            <a:solidFill>
              <a:schemeClr val="accent2"/>
            </a:solidFill>
            <a:ln>
              <a:noFill/>
            </a:ln>
            <a:effectLst/>
          </c:spPr>
          <c:cat>
            <c:numRef>
              <c:f>'Greenery '!$B$21:$B$26</c:f>
              <c:numCache>
                <c:formatCode>General</c:formatCode>
                <c:ptCount val="6"/>
                <c:pt idx="0">
                  <c:v>2017</c:v>
                </c:pt>
                <c:pt idx="1">
                  <c:v>2018</c:v>
                </c:pt>
                <c:pt idx="2">
                  <c:v>2019</c:v>
                </c:pt>
                <c:pt idx="3">
                  <c:v>2020</c:v>
                </c:pt>
                <c:pt idx="4">
                  <c:v>2021</c:v>
                </c:pt>
                <c:pt idx="5">
                  <c:v>2022</c:v>
                </c:pt>
              </c:numCache>
            </c:numRef>
          </c:cat>
          <c:val>
            <c:numRef>
              <c:f>'Greenery '!$C$21:$C$26</c:f>
              <c:numCache>
                <c:formatCode>General</c:formatCode>
                <c:ptCount val="6"/>
              </c:numCache>
            </c:numRef>
          </c:val>
          <c:extLst>
            <c:ext xmlns:c15="http://schemas.microsoft.com/office/drawing/2012/chart" uri="{02D57815-91ED-43cb-92C2-25804820EDAC}">
              <c15:filteredSeriesTitle>
                <c15:tx>
                  <c:strRef>
                    <c:extLst>
                      <c:ext uri="{02D57815-91ED-43cb-92C2-25804820EDAC}">
                        <c15:formulaRef>
                          <c15:sqref>'Greenery &amp; Water Bodies'!#REF!</c15:sqref>
                        </c15:formulaRef>
                      </c:ext>
                    </c:extLst>
                    <c:strCache>
                      <c:ptCount val="1"/>
                      <c:pt idx="0">
                        <c:v>#REF!</c:v>
                      </c:pt>
                    </c:strCache>
                  </c:strRef>
                </c15:tx>
              </c15:filteredSeriesTitle>
            </c:ext>
            <c:ext xmlns:c16="http://schemas.microsoft.com/office/drawing/2014/chart" uri="{C3380CC4-5D6E-409C-BE32-E72D297353CC}">
              <c16:uniqueId val="{00000001-EDBE-4ED8-8A3B-0ECC2896DD22}"/>
            </c:ext>
          </c:extLst>
        </c:ser>
        <c:ser>
          <c:idx val="2"/>
          <c:order val="1"/>
          <c:spPr>
            <a:solidFill>
              <a:schemeClr val="accent3"/>
            </a:solidFill>
            <a:ln>
              <a:noFill/>
            </a:ln>
            <a:effectLst/>
          </c:spPr>
          <c:cat>
            <c:numRef>
              <c:f>'Greenery '!$B$21:$B$26</c:f>
              <c:numCache>
                <c:formatCode>General</c:formatCode>
                <c:ptCount val="6"/>
                <c:pt idx="0">
                  <c:v>2017</c:v>
                </c:pt>
                <c:pt idx="1">
                  <c:v>2018</c:v>
                </c:pt>
                <c:pt idx="2">
                  <c:v>2019</c:v>
                </c:pt>
                <c:pt idx="3">
                  <c:v>2020</c:v>
                </c:pt>
                <c:pt idx="4">
                  <c:v>2021</c:v>
                </c:pt>
                <c:pt idx="5">
                  <c:v>2022</c:v>
                </c:pt>
              </c:numCache>
            </c:numRef>
          </c:cat>
          <c:val>
            <c:numRef>
              <c:f>'Greenery '!$D$21:$D$26</c:f>
              <c:numCache>
                <c:formatCode>_-* #,##0_-;\-* #,##0_-;_-* "-"??_-;_-@_-</c:formatCode>
                <c:ptCount val="6"/>
              </c:numCache>
            </c:numRef>
          </c:val>
          <c:extLst>
            <c:ext xmlns:c15="http://schemas.microsoft.com/office/drawing/2012/chart" uri="{02D57815-91ED-43cb-92C2-25804820EDAC}">
              <c15:filteredSeriesTitle>
                <c15:tx>
                  <c:strRef>
                    <c:extLst>
                      <c:ext uri="{02D57815-91ED-43cb-92C2-25804820EDAC}">
                        <c15:formulaRef>
                          <c15:sqref>'Greenery &amp; Water Bodies'!#REF!</c15:sqref>
                        </c15:formulaRef>
                      </c:ext>
                    </c:extLst>
                    <c:strCache>
                      <c:ptCount val="1"/>
                      <c:pt idx="0">
                        <c:v>#REF!</c:v>
                      </c:pt>
                    </c:strCache>
                  </c:strRef>
                </c15:tx>
              </c15:filteredSeriesTitle>
            </c:ext>
            <c:ext xmlns:c16="http://schemas.microsoft.com/office/drawing/2014/chart" uri="{C3380CC4-5D6E-409C-BE32-E72D297353CC}">
              <c16:uniqueId val="{00000002-EDBE-4ED8-8A3B-0ECC2896DD22}"/>
            </c:ext>
          </c:extLst>
        </c:ser>
        <c:ser>
          <c:idx val="3"/>
          <c:order val="2"/>
          <c:spPr>
            <a:solidFill>
              <a:schemeClr val="accent4"/>
            </a:solidFill>
            <a:ln>
              <a:noFill/>
            </a:ln>
            <a:effectLst/>
          </c:spPr>
          <c:cat>
            <c:numRef>
              <c:f>'Greenery '!$B$21:$B$26</c:f>
              <c:numCache>
                <c:formatCode>General</c:formatCode>
                <c:ptCount val="6"/>
                <c:pt idx="0">
                  <c:v>2017</c:v>
                </c:pt>
                <c:pt idx="1">
                  <c:v>2018</c:v>
                </c:pt>
                <c:pt idx="2">
                  <c:v>2019</c:v>
                </c:pt>
                <c:pt idx="3">
                  <c:v>2020</c:v>
                </c:pt>
                <c:pt idx="4">
                  <c:v>2021</c:v>
                </c:pt>
                <c:pt idx="5">
                  <c:v>2022</c:v>
                </c:pt>
              </c:numCache>
            </c:numRef>
          </c:cat>
          <c:val>
            <c:numRef>
              <c:f>'Greenery '!$E$21:$E$26</c:f>
              <c:numCache>
                <c:formatCode>_-* #,##0_-;\-* #,##0_-;_-* "-"??_-;_-@_-</c:formatCode>
                <c:ptCount val="6"/>
              </c:numCache>
            </c:numRef>
          </c:val>
          <c:extLst>
            <c:ext xmlns:c15="http://schemas.microsoft.com/office/drawing/2012/chart" uri="{02D57815-91ED-43cb-92C2-25804820EDAC}">
              <c15:filteredSeriesTitle>
                <c15:tx>
                  <c:strRef>
                    <c:extLst>
                      <c:ext uri="{02D57815-91ED-43cb-92C2-25804820EDAC}">
                        <c15:formulaRef>
                          <c15:sqref>'Greenery &amp; Water Bodies'!#REF!</c15:sqref>
                        </c15:formulaRef>
                      </c:ext>
                    </c:extLst>
                    <c:strCache>
                      <c:ptCount val="1"/>
                      <c:pt idx="0">
                        <c:v>#REF!</c:v>
                      </c:pt>
                    </c:strCache>
                  </c:strRef>
                </c15:tx>
              </c15:filteredSeriesTitle>
            </c:ext>
            <c:ext xmlns:c16="http://schemas.microsoft.com/office/drawing/2014/chart" uri="{C3380CC4-5D6E-409C-BE32-E72D297353CC}">
              <c16:uniqueId val="{00000003-EDBE-4ED8-8A3B-0ECC2896DD22}"/>
            </c:ext>
          </c:extLst>
        </c:ser>
        <c:ser>
          <c:idx val="4"/>
          <c:order val="3"/>
          <c:spPr>
            <a:solidFill>
              <a:schemeClr val="accent5"/>
            </a:solidFill>
            <a:ln>
              <a:noFill/>
            </a:ln>
            <a:effectLst/>
          </c:spPr>
          <c:cat>
            <c:numRef>
              <c:f>'Greenery '!$B$21:$B$26</c:f>
              <c:numCache>
                <c:formatCode>General</c:formatCode>
                <c:ptCount val="6"/>
                <c:pt idx="0">
                  <c:v>2017</c:v>
                </c:pt>
                <c:pt idx="1">
                  <c:v>2018</c:v>
                </c:pt>
                <c:pt idx="2">
                  <c:v>2019</c:v>
                </c:pt>
                <c:pt idx="3">
                  <c:v>2020</c:v>
                </c:pt>
                <c:pt idx="4">
                  <c:v>2021</c:v>
                </c:pt>
                <c:pt idx="5">
                  <c:v>2022</c:v>
                </c:pt>
              </c:numCache>
            </c:numRef>
          </c:cat>
          <c:val>
            <c:numRef>
              <c:f>'Greenery '!$F$21:$F$26</c:f>
              <c:numCache>
                <c:formatCode>_-* #,##0_-;\-* #,##0_-;_-* "-"??_-;_-@_-</c:formatCode>
                <c:ptCount val="6"/>
                <c:pt idx="0">
                  <c:v>70</c:v>
                </c:pt>
                <c:pt idx="1">
                  <c:v>100</c:v>
                </c:pt>
                <c:pt idx="2">
                  <c:v>80</c:v>
                </c:pt>
              </c:numCache>
            </c:numRef>
          </c:val>
          <c:extLst>
            <c:ext xmlns:c15="http://schemas.microsoft.com/office/drawing/2012/chart" uri="{02D57815-91ED-43cb-92C2-25804820EDAC}">
              <c15:filteredSeriesTitle>
                <c15:tx>
                  <c:strRef>
                    <c:extLst>
                      <c:ext uri="{02D57815-91ED-43cb-92C2-25804820EDAC}">
                        <c15:formulaRef>
                          <c15:sqref>'Greenery &amp; Water Bodies'!#REF!</c15:sqref>
                        </c15:formulaRef>
                      </c:ext>
                    </c:extLst>
                    <c:strCache>
                      <c:ptCount val="1"/>
                      <c:pt idx="0">
                        <c:v>#REF!</c:v>
                      </c:pt>
                    </c:strCache>
                  </c:strRef>
                </c15:tx>
              </c15:filteredSeriesTitle>
            </c:ext>
            <c:ext xmlns:c16="http://schemas.microsoft.com/office/drawing/2014/chart" uri="{C3380CC4-5D6E-409C-BE32-E72D297353CC}">
              <c16:uniqueId val="{00000004-EDBE-4ED8-8A3B-0ECC2896DD22}"/>
            </c:ext>
          </c:extLst>
        </c:ser>
        <c:dLbls>
          <c:showLegendKey val="0"/>
          <c:showVal val="0"/>
          <c:showCatName val="0"/>
          <c:showSerName val="0"/>
          <c:showPercent val="0"/>
          <c:showBubbleSize val="0"/>
        </c:dLbls>
        <c:axId val="410797896"/>
        <c:axId val="410796912"/>
      </c:areaChart>
      <c:catAx>
        <c:axId val="41079789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0796912"/>
        <c:crosses val="autoZero"/>
        <c:auto val="1"/>
        <c:lblAlgn val="ctr"/>
        <c:lblOffset val="100"/>
        <c:noMultiLvlLbl val="0"/>
      </c:catAx>
      <c:valAx>
        <c:axId val="4107969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r>
                  <a:rPr lang="en-MY" sz="700"/>
                  <a:t>ANNUAL CARBON</a:t>
                </a:r>
                <a:r>
                  <a:rPr lang="en-MY" sz="700" baseline="0"/>
                  <a:t> SEQUESTRATION (t CO2)</a:t>
                </a:r>
                <a:endParaRPr lang="en-MY" sz="700"/>
              </a:p>
            </c:rich>
          </c:tx>
          <c:overlay val="0"/>
          <c:spPr>
            <a:noFill/>
            <a:ln>
              <a:noFill/>
            </a:ln>
            <a:effectLst/>
          </c:spPr>
          <c:txPr>
            <a:bodyPr rot="-54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079789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MY"/>
              <a:t>Annual Mobillity tCO2e Emissions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barChart>
        <c:barDir val="col"/>
        <c:grouping val="clustered"/>
        <c:varyColors val="0"/>
        <c:ser>
          <c:idx val="6"/>
          <c:order val="6"/>
          <c:tx>
            <c:strRef>
              <c:f>'Mobility 2 - Traffic (ORI)VOID'!$I$98:$I$100</c:f>
              <c:strCache>
                <c:ptCount val="3"/>
                <c:pt idx="0">
                  <c:v>Total Emission, tCO2e per year</c:v>
                </c:pt>
              </c:strCache>
            </c:strRef>
          </c:tx>
          <c:spPr>
            <a:gradFill rotWithShape="1">
              <a:gsLst>
                <a:gs pos="0">
                  <a:schemeClr val="accent6">
                    <a:lumMod val="80000"/>
                    <a:lumOff val="20000"/>
                    <a:lumMod val="110000"/>
                    <a:satMod val="105000"/>
                    <a:tint val="67000"/>
                  </a:schemeClr>
                </a:gs>
                <a:gs pos="50000">
                  <a:schemeClr val="accent6">
                    <a:lumMod val="80000"/>
                    <a:lumOff val="20000"/>
                    <a:lumMod val="105000"/>
                    <a:satMod val="103000"/>
                    <a:tint val="73000"/>
                  </a:schemeClr>
                </a:gs>
                <a:gs pos="100000">
                  <a:schemeClr val="accent6">
                    <a:lumMod val="80000"/>
                    <a:lumOff val="20000"/>
                    <a:lumMod val="105000"/>
                    <a:satMod val="109000"/>
                    <a:tint val="81000"/>
                  </a:schemeClr>
                </a:gs>
              </a:gsLst>
              <a:lin ang="5400000" scaled="0"/>
            </a:gradFill>
            <a:ln w="9525" cap="flat" cmpd="sng" algn="ctr">
              <a:solidFill>
                <a:schemeClr val="accent6">
                  <a:lumMod val="80000"/>
                  <a:lumOff val="20000"/>
                  <a:shade val="95000"/>
                </a:schemeClr>
              </a:solidFill>
              <a:round/>
            </a:ln>
            <a:effectLst/>
          </c:spPr>
          <c:invertIfNegative val="0"/>
          <c:cat>
            <c:numRef>
              <c:f>'[2]Mobility 1 - Traffic'!$A$22:$A$26</c:f>
              <c:numCache>
                <c:formatCode>General</c:formatCode>
                <c:ptCount val="5"/>
                <c:pt idx="0">
                  <c:v>2015</c:v>
                </c:pt>
                <c:pt idx="1">
                  <c:v>2016</c:v>
                </c:pt>
                <c:pt idx="2">
                  <c:v>2017</c:v>
                </c:pt>
                <c:pt idx="3">
                  <c:v>2018</c:v>
                </c:pt>
                <c:pt idx="4">
                  <c:v>2019</c:v>
                </c:pt>
              </c:numCache>
            </c:numRef>
          </c:cat>
          <c:val>
            <c:numRef>
              <c:f>'Mobility 2 - Traffic (ORI)VOID'!$I$101:$I$105</c:f>
              <c:numCache>
                <c:formatCode>_(* #,##0.00_);_(* \(#,##0.00\);_(* "-"??_);_(@_)</c:formatCode>
                <c:ptCount val="5"/>
                <c:pt idx="0">
                  <c:v>3154.9186564875004</c:v>
                </c:pt>
                <c:pt idx="1">
                  <c:v>0</c:v>
                </c:pt>
                <c:pt idx="2">
                  <c:v>0</c:v>
                </c:pt>
              </c:numCache>
            </c:numRef>
          </c:val>
          <c:extLst>
            <c:ext xmlns:c16="http://schemas.microsoft.com/office/drawing/2014/chart" uri="{C3380CC4-5D6E-409C-BE32-E72D297353CC}">
              <c16:uniqueId val="{00000000-8D5B-4418-B972-094EFF10EA53}"/>
            </c:ext>
          </c:extLst>
        </c:ser>
        <c:dLbls>
          <c:showLegendKey val="0"/>
          <c:showVal val="0"/>
          <c:showCatName val="0"/>
          <c:showSerName val="0"/>
          <c:showPercent val="0"/>
          <c:showBubbleSize val="0"/>
        </c:dLbls>
        <c:gapWidth val="75"/>
        <c:axId val="498602272"/>
        <c:axId val="498591936"/>
      </c:barChart>
      <c:lineChart>
        <c:grouping val="standard"/>
        <c:varyColors val="0"/>
        <c:ser>
          <c:idx val="7"/>
          <c:order val="0"/>
          <c:tx>
            <c:strRef>
              <c:f>'Mobility 2 - Traffic (ORI)VOID'!$B$100</c:f>
              <c:strCache>
                <c:ptCount val="1"/>
                <c:pt idx="0">
                  <c:v>Motorcycle</c:v>
                </c:pt>
              </c:strCache>
            </c:strRef>
          </c:tx>
          <c:spPr>
            <a:ln w="15875" cap="rnd">
              <a:solidFill>
                <a:schemeClr val="accent5">
                  <a:lumMod val="80000"/>
                  <a:lumOff val="20000"/>
                </a:schemeClr>
              </a:solidFill>
              <a:round/>
            </a:ln>
            <a:effectLst/>
          </c:spPr>
          <c:marker>
            <c:symbol val="circle"/>
            <c:size val="5"/>
            <c:spPr>
              <a:gradFill rotWithShape="1">
                <a:gsLst>
                  <a:gs pos="0">
                    <a:schemeClr val="accent5">
                      <a:lumMod val="80000"/>
                      <a:lumOff val="20000"/>
                      <a:lumMod val="110000"/>
                      <a:satMod val="105000"/>
                      <a:tint val="67000"/>
                    </a:schemeClr>
                  </a:gs>
                  <a:gs pos="50000">
                    <a:schemeClr val="accent5">
                      <a:lumMod val="80000"/>
                      <a:lumOff val="20000"/>
                      <a:lumMod val="105000"/>
                      <a:satMod val="103000"/>
                      <a:tint val="73000"/>
                    </a:schemeClr>
                  </a:gs>
                  <a:gs pos="100000">
                    <a:schemeClr val="accent5">
                      <a:lumMod val="80000"/>
                      <a:lumOff val="20000"/>
                      <a:lumMod val="105000"/>
                      <a:satMod val="109000"/>
                      <a:tint val="81000"/>
                    </a:schemeClr>
                  </a:gs>
                </a:gsLst>
                <a:lin ang="5400000" scaled="0"/>
              </a:gradFill>
              <a:ln w="9525" cap="flat" cmpd="sng" algn="ctr">
                <a:solidFill>
                  <a:schemeClr val="accent5">
                    <a:lumMod val="80000"/>
                    <a:lumOff val="20000"/>
                    <a:shade val="95000"/>
                  </a:schemeClr>
                </a:solidFill>
                <a:round/>
              </a:ln>
              <a:effectLst/>
            </c:spPr>
          </c:marker>
          <c:cat>
            <c:numRef>
              <c:f>'Mobility 2 - Traffic (ORI)VOID'!$A$101:$A$105</c:f>
              <c:numCache>
                <c:formatCode>General</c:formatCode>
                <c:ptCount val="5"/>
                <c:pt idx="0">
                  <c:v>2017</c:v>
                </c:pt>
                <c:pt idx="1">
                  <c:v>2018</c:v>
                </c:pt>
                <c:pt idx="2">
                  <c:v>2019</c:v>
                </c:pt>
                <c:pt idx="3">
                  <c:v>2020</c:v>
                </c:pt>
                <c:pt idx="4">
                  <c:v>2021</c:v>
                </c:pt>
              </c:numCache>
            </c:numRef>
          </c:cat>
          <c:val>
            <c:numRef>
              <c:f>'Mobility 2 - Traffic (ORI)VOID'!$B$101:$B$105</c:f>
              <c:numCache>
                <c:formatCode>General</c:formatCode>
                <c:ptCount val="5"/>
                <c:pt idx="0">
                  <c:v>1271</c:v>
                </c:pt>
                <c:pt idx="1">
                  <c:v>4350</c:v>
                </c:pt>
                <c:pt idx="2">
                  <c:v>4350</c:v>
                </c:pt>
              </c:numCache>
            </c:numRef>
          </c:val>
          <c:smooth val="0"/>
          <c:extLst>
            <c:ext xmlns:c16="http://schemas.microsoft.com/office/drawing/2014/chart" uri="{C3380CC4-5D6E-409C-BE32-E72D297353CC}">
              <c16:uniqueId val="{00000001-8D5B-4418-B972-094EFF10EA53}"/>
            </c:ext>
          </c:extLst>
        </c:ser>
        <c:ser>
          <c:idx val="0"/>
          <c:order val="1"/>
          <c:tx>
            <c:strRef>
              <c:f>'Mobility 2 - Traffic (ORI)VOID'!$C$100</c:f>
              <c:strCache>
                <c:ptCount val="1"/>
                <c:pt idx="0">
                  <c:v>Car</c:v>
                </c:pt>
              </c:strCache>
            </c:strRef>
          </c:tx>
          <c:spPr>
            <a:ln w="15875" cap="rnd">
              <a:solidFill>
                <a:schemeClr val="accent6"/>
              </a:solidFill>
              <a:round/>
            </a:ln>
            <a:effectLst/>
          </c:spPr>
          <c:marker>
            <c:symbol val="circle"/>
            <c:size val="5"/>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marker>
          <c:cat>
            <c:numRef>
              <c:f>'Mobility 2 - Traffic (ORI)VOID'!$A$101:$A$105</c:f>
              <c:numCache>
                <c:formatCode>General</c:formatCode>
                <c:ptCount val="5"/>
                <c:pt idx="0">
                  <c:v>2017</c:v>
                </c:pt>
                <c:pt idx="1">
                  <c:v>2018</c:v>
                </c:pt>
                <c:pt idx="2">
                  <c:v>2019</c:v>
                </c:pt>
                <c:pt idx="3">
                  <c:v>2020</c:v>
                </c:pt>
                <c:pt idx="4">
                  <c:v>2021</c:v>
                </c:pt>
              </c:numCache>
            </c:numRef>
          </c:cat>
          <c:val>
            <c:numRef>
              <c:f>'Mobility 2 - Traffic (ORI)VOID'!$C$101:$C$105</c:f>
              <c:numCache>
                <c:formatCode>General</c:formatCode>
                <c:ptCount val="5"/>
                <c:pt idx="0">
                  <c:v>7817</c:v>
                </c:pt>
                <c:pt idx="1">
                  <c:v>43272</c:v>
                </c:pt>
                <c:pt idx="2">
                  <c:v>43272</c:v>
                </c:pt>
              </c:numCache>
            </c:numRef>
          </c:val>
          <c:smooth val="0"/>
          <c:extLst>
            <c:ext xmlns:c16="http://schemas.microsoft.com/office/drawing/2014/chart" uri="{C3380CC4-5D6E-409C-BE32-E72D297353CC}">
              <c16:uniqueId val="{00000002-8D5B-4418-B972-094EFF10EA53}"/>
            </c:ext>
          </c:extLst>
        </c:ser>
        <c:ser>
          <c:idx val="1"/>
          <c:order val="2"/>
          <c:tx>
            <c:strRef>
              <c:f>'Mobility 2 - Traffic (ORI)VOID'!$D$100</c:f>
              <c:strCache>
                <c:ptCount val="1"/>
                <c:pt idx="0">
                  <c:v>MPV</c:v>
                </c:pt>
              </c:strCache>
            </c:strRef>
          </c:tx>
          <c:spPr>
            <a:ln w="15875" cap="rnd">
              <a:solidFill>
                <a:schemeClr val="accent5"/>
              </a:solidFill>
              <a:round/>
            </a:ln>
            <a:effectLst/>
          </c:spPr>
          <c:marker>
            <c:symbol val="circle"/>
            <c:size val="5"/>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marker>
          <c:cat>
            <c:numRef>
              <c:f>'Mobility 2 - Traffic (ORI)VOID'!$A$101:$A$105</c:f>
              <c:numCache>
                <c:formatCode>General</c:formatCode>
                <c:ptCount val="5"/>
                <c:pt idx="0">
                  <c:v>2017</c:v>
                </c:pt>
                <c:pt idx="1">
                  <c:v>2018</c:v>
                </c:pt>
                <c:pt idx="2">
                  <c:v>2019</c:v>
                </c:pt>
                <c:pt idx="3">
                  <c:v>2020</c:v>
                </c:pt>
                <c:pt idx="4">
                  <c:v>2021</c:v>
                </c:pt>
              </c:numCache>
            </c:numRef>
          </c:cat>
          <c:val>
            <c:numRef>
              <c:f>'Mobility 2 - Traffic (ORI)VOID'!$D$101:$D$105</c:f>
              <c:numCache>
                <c:formatCode>General</c:formatCode>
                <c:ptCount val="5"/>
                <c:pt idx="0">
                  <c:v>5107</c:v>
                </c:pt>
                <c:pt idx="1">
                  <c:v>4461</c:v>
                </c:pt>
                <c:pt idx="2">
                  <c:v>4461</c:v>
                </c:pt>
              </c:numCache>
            </c:numRef>
          </c:val>
          <c:smooth val="0"/>
          <c:extLst>
            <c:ext xmlns:c16="http://schemas.microsoft.com/office/drawing/2014/chart" uri="{C3380CC4-5D6E-409C-BE32-E72D297353CC}">
              <c16:uniqueId val="{00000003-8D5B-4418-B972-094EFF10EA53}"/>
            </c:ext>
          </c:extLst>
        </c:ser>
        <c:ser>
          <c:idx val="2"/>
          <c:order val="3"/>
          <c:tx>
            <c:strRef>
              <c:f>'Mobility 2 - Traffic (ORI)VOID'!$E$100</c:f>
              <c:strCache>
                <c:ptCount val="1"/>
                <c:pt idx="0">
                  <c:v>Bus</c:v>
                </c:pt>
              </c:strCache>
            </c:strRef>
          </c:tx>
          <c:spPr>
            <a:ln w="15875" cap="rnd">
              <a:solidFill>
                <a:schemeClr val="accent4"/>
              </a:solidFill>
              <a:round/>
            </a:ln>
            <a:effectLst/>
          </c:spPr>
          <c:marker>
            <c:symbol val="circle"/>
            <c:size val="5"/>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marker>
          <c:cat>
            <c:numRef>
              <c:f>'Mobility 2 - Traffic (ORI)VOID'!$A$101:$A$105</c:f>
              <c:numCache>
                <c:formatCode>General</c:formatCode>
                <c:ptCount val="5"/>
                <c:pt idx="0">
                  <c:v>2017</c:v>
                </c:pt>
                <c:pt idx="1">
                  <c:v>2018</c:v>
                </c:pt>
                <c:pt idx="2">
                  <c:v>2019</c:v>
                </c:pt>
                <c:pt idx="3">
                  <c:v>2020</c:v>
                </c:pt>
                <c:pt idx="4">
                  <c:v>2021</c:v>
                </c:pt>
              </c:numCache>
            </c:numRef>
          </c:cat>
          <c:val>
            <c:numRef>
              <c:f>'Mobility 2 - Traffic (ORI)VOID'!$E$101:$E$105</c:f>
              <c:numCache>
                <c:formatCode>General</c:formatCode>
                <c:ptCount val="5"/>
                <c:pt idx="0">
                  <c:v>169</c:v>
                </c:pt>
                <c:pt idx="1">
                  <c:v>613</c:v>
                </c:pt>
                <c:pt idx="2">
                  <c:v>613</c:v>
                </c:pt>
              </c:numCache>
            </c:numRef>
          </c:val>
          <c:smooth val="0"/>
          <c:extLst>
            <c:ext xmlns:c16="http://schemas.microsoft.com/office/drawing/2014/chart" uri="{C3380CC4-5D6E-409C-BE32-E72D297353CC}">
              <c16:uniqueId val="{00000004-8D5B-4418-B972-094EFF10EA53}"/>
            </c:ext>
          </c:extLst>
        </c:ser>
        <c:ser>
          <c:idx val="3"/>
          <c:order val="4"/>
          <c:tx>
            <c:strRef>
              <c:f>'Mobility 2 - Traffic (ORI)VOID'!$F$100</c:f>
              <c:strCache>
                <c:ptCount val="1"/>
                <c:pt idx="0">
                  <c:v>Light Trck</c:v>
                </c:pt>
              </c:strCache>
            </c:strRef>
          </c:tx>
          <c:spPr>
            <a:ln w="15875" cap="rnd">
              <a:solidFill>
                <a:schemeClr val="accent6">
                  <a:lumMod val="60000"/>
                </a:schemeClr>
              </a:solidFill>
              <a:round/>
            </a:ln>
            <a:effectLst/>
          </c:spPr>
          <c:marker>
            <c:symbol val="circle"/>
            <c:size val="5"/>
            <c:spPr>
              <a:gradFill rotWithShape="1">
                <a:gsLst>
                  <a:gs pos="0">
                    <a:schemeClr val="accent6">
                      <a:lumMod val="60000"/>
                      <a:lumMod val="110000"/>
                      <a:satMod val="105000"/>
                      <a:tint val="67000"/>
                    </a:schemeClr>
                  </a:gs>
                  <a:gs pos="50000">
                    <a:schemeClr val="accent6">
                      <a:lumMod val="60000"/>
                      <a:lumMod val="105000"/>
                      <a:satMod val="103000"/>
                      <a:tint val="73000"/>
                    </a:schemeClr>
                  </a:gs>
                  <a:gs pos="100000">
                    <a:schemeClr val="accent6">
                      <a:lumMod val="60000"/>
                      <a:lumMod val="105000"/>
                      <a:satMod val="109000"/>
                      <a:tint val="81000"/>
                    </a:schemeClr>
                  </a:gs>
                </a:gsLst>
                <a:lin ang="5400000" scaled="0"/>
              </a:gradFill>
              <a:ln w="9525" cap="flat" cmpd="sng" algn="ctr">
                <a:solidFill>
                  <a:schemeClr val="accent6">
                    <a:lumMod val="60000"/>
                    <a:shade val="95000"/>
                  </a:schemeClr>
                </a:solidFill>
                <a:round/>
              </a:ln>
              <a:effectLst/>
            </c:spPr>
          </c:marker>
          <c:cat>
            <c:numRef>
              <c:f>'Mobility 2 - Traffic (ORI)VOID'!$A$101:$A$105</c:f>
              <c:numCache>
                <c:formatCode>General</c:formatCode>
                <c:ptCount val="5"/>
                <c:pt idx="0">
                  <c:v>2017</c:v>
                </c:pt>
                <c:pt idx="1">
                  <c:v>2018</c:v>
                </c:pt>
                <c:pt idx="2">
                  <c:v>2019</c:v>
                </c:pt>
                <c:pt idx="3">
                  <c:v>2020</c:v>
                </c:pt>
                <c:pt idx="4">
                  <c:v>2021</c:v>
                </c:pt>
              </c:numCache>
            </c:numRef>
          </c:cat>
          <c:val>
            <c:numRef>
              <c:f>'Mobility 2 - Traffic (ORI)VOID'!$F$101:$F$105</c:f>
              <c:numCache>
                <c:formatCode>General</c:formatCode>
                <c:ptCount val="5"/>
                <c:pt idx="0">
                  <c:v>206</c:v>
                </c:pt>
                <c:pt idx="1">
                  <c:v>1553</c:v>
                </c:pt>
                <c:pt idx="2">
                  <c:v>1553</c:v>
                </c:pt>
              </c:numCache>
            </c:numRef>
          </c:val>
          <c:smooth val="0"/>
          <c:extLst>
            <c:ext xmlns:c16="http://schemas.microsoft.com/office/drawing/2014/chart" uri="{C3380CC4-5D6E-409C-BE32-E72D297353CC}">
              <c16:uniqueId val="{00000005-8D5B-4418-B972-094EFF10EA53}"/>
            </c:ext>
          </c:extLst>
        </c:ser>
        <c:ser>
          <c:idx val="4"/>
          <c:order val="5"/>
          <c:tx>
            <c:strRef>
              <c:f>'Mobility 2 - Traffic (ORI)VOID'!$G$100</c:f>
              <c:strCache>
                <c:ptCount val="1"/>
                <c:pt idx="0">
                  <c:v>Heavy Trck</c:v>
                </c:pt>
              </c:strCache>
            </c:strRef>
          </c:tx>
          <c:spPr>
            <a:ln w="15875" cap="rnd">
              <a:solidFill>
                <a:schemeClr val="accent5">
                  <a:lumMod val="60000"/>
                </a:schemeClr>
              </a:solidFill>
              <a:round/>
            </a:ln>
            <a:effectLst/>
          </c:spPr>
          <c:marker>
            <c:symbol val="circle"/>
            <c:size val="5"/>
            <c:spPr>
              <a:gradFill rotWithShape="1">
                <a:gsLst>
                  <a:gs pos="0">
                    <a:schemeClr val="accent5">
                      <a:lumMod val="60000"/>
                      <a:lumMod val="110000"/>
                      <a:satMod val="105000"/>
                      <a:tint val="67000"/>
                    </a:schemeClr>
                  </a:gs>
                  <a:gs pos="50000">
                    <a:schemeClr val="accent5">
                      <a:lumMod val="60000"/>
                      <a:lumMod val="105000"/>
                      <a:satMod val="103000"/>
                      <a:tint val="73000"/>
                    </a:schemeClr>
                  </a:gs>
                  <a:gs pos="100000">
                    <a:schemeClr val="accent5">
                      <a:lumMod val="60000"/>
                      <a:lumMod val="105000"/>
                      <a:satMod val="109000"/>
                      <a:tint val="81000"/>
                    </a:schemeClr>
                  </a:gs>
                </a:gsLst>
                <a:lin ang="5400000" scaled="0"/>
              </a:gradFill>
              <a:ln w="9525" cap="flat" cmpd="sng" algn="ctr">
                <a:solidFill>
                  <a:schemeClr val="accent5">
                    <a:lumMod val="60000"/>
                    <a:shade val="95000"/>
                  </a:schemeClr>
                </a:solidFill>
                <a:round/>
              </a:ln>
              <a:effectLst/>
            </c:spPr>
          </c:marker>
          <c:cat>
            <c:numRef>
              <c:f>'Mobility 2 - Traffic (ORI)VOID'!$A$101:$A$105</c:f>
              <c:numCache>
                <c:formatCode>General</c:formatCode>
                <c:ptCount val="5"/>
                <c:pt idx="0">
                  <c:v>2017</c:v>
                </c:pt>
                <c:pt idx="1">
                  <c:v>2018</c:v>
                </c:pt>
                <c:pt idx="2">
                  <c:v>2019</c:v>
                </c:pt>
                <c:pt idx="3">
                  <c:v>2020</c:v>
                </c:pt>
                <c:pt idx="4">
                  <c:v>2021</c:v>
                </c:pt>
              </c:numCache>
            </c:numRef>
          </c:cat>
          <c:val>
            <c:numRef>
              <c:f>'Mobility 2 - Traffic (ORI)VOID'!$G$101:$G$105</c:f>
              <c:numCache>
                <c:formatCode>General</c:formatCode>
                <c:ptCount val="5"/>
                <c:pt idx="0">
                  <c:v>0</c:v>
                </c:pt>
                <c:pt idx="1">
                  <c:v>1513</c:v>
                </c:pt>
                <c:pt idx="2">
                  <c:v>1513</c:v>
                </c:pt>
              </c:numCache>
            </c:numRef>
          </c:val>
          <c:smooth val="0"/>
          <c:extLst>
            <c:ext xmlns:c16="http://schemas.microsoft.com/office/drawing/2014/chart" uri="{C3380CC4-5D6E-409C-BE32-E72D297353CC}">
              <c16:uniqueId val="{00000006-8D5B-4418-B972-094EFF10EA53}"/>
            </c:ext>
          </c:extLst>
        </c:ser>
        <c:dLbls>
          <c:showLegendKey val="0"/>
          <c:showVal val="0"/>
          <c:showCatName val="0"/>
          <c:showSerName val="0"/>
          <c:showPercent val="0"/>
          <c:showBubbleSize val="0"/>
        </c:dLbls>
        <c:marker val="1"/>
        <c:smooth val="0"/>
        <c:axId val="1447049808"/>
        <c:axId val="1206224352"/>
      </c:lineChart>
      <c:valAx>
        <c:axId val="4985919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en-MY"/>
                  <a:t>Annualy TCO2e emission</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498602272"/>
        <c:crosses val="autoZero"/>
        <c:crossBetween val="between"/>
      </c:valAx>
      <c:catAx>
        <c:axId val="49860227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498591936"/>
        <c:crosses val="autoZero"/>
        <c:auto val="1"/>
        <c:lblAlgn val="ctr"/>
        <c:lblOffset val="100"/>
        <c:noMultiLvlLbl val="0"/>
      </c:catAx>
      <c:valAx>
        <c:axId val="1206224352"/>
        <c:scaling>
          <c:orientation val="minMax"/>
        </c:scaling>
        <c:delete val="0"/>
        <c:axPos val="r"/>
        <c:title>
          <c:tx>
            <c:rich>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en-MY"/>
                  <a:t>Daily</a:t>
                </a:r>
                <a:r>
                  <a:rPr lang="en-MY" baseline="0"/>
                  <a:t> traffic count</a:t>
                </a:r>
                <a:endParaRPr lang="en-MY"/>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47049808"/>
        <c:crosses val="max"/>
        <c:crossBetween val="between"/>
      </c:valAx>
      <c:catAx>
        <c:axId val="1447049808"/>
        <c:scaling>
          <c:orientation val="minMax"/>
        </c:scaling>
        <c:delete val="1"/>
        <c:axPos val="b"/>
        <c:numFmt formatCode="General" sourceLinked="1"/>
        <c:majorTickMark val="out"/>
        <c:minorTickMark val="none"/>
        <c:tickLblPos val="nextTo"/>
        <c:crossAx val="1206224352"/>
        <c:crosses val="autoZero"/>
        <c:auto val="1"/>
        <c:lblAlgn val="ctr"/>
        <c:lblOffset val="100"/>
        <c:noMultiLvlLbl val="0"/>
      </c:catAx>
      <c:spPr>
        <a:noFill/>
        <a:ln>
          <a:noFill/>
        </a:ln>
        <a:effectLst/>
      </c:spPr>
    </c:plotArea>
    <c:legend>
      <c:legendPos val="b"/>
      <c:layout>
        <c:manualLayout>
          <c:xMode val="edge"/>
          <c:yMode val="edge"/>
          <c:x val="5.6735457087471908E-2"/>
          <c:y val="0.74611539149004225"/>
          <c:w val="0.89088621275281765"/>
          <c:h val="0.2347687184263257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MY"/>
              <a:t>Annual Mobillity Emissions, tCO2e and Vehicles KM Travel</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barChart>
        <c:barDir val="col"/>
        <c:grouping val="clustered"/>
        <c:varyColors val="0"/>
        <c:ser>
          <c:idx val="6"/>
          <c:order val="3"/>
          <c:tx>
            <c:strRef>
              <c:f>'Mobility 2 - Traffic (ORI)VOID'!$I$98:$I$100</c:f>
              <c:strCache>
                <c:ptCount val="1"/>
                <c:pt idx="0">
                  <c:v>Total Emission, tCO2e per year</c:v>
                </c:pt>
              </c:strCache>
            </c:strRef>
          </c:tx>
          <c:spPr>
            <a:gradFill rotWithShape="1">
              <a:gsLst>
                <a:gs pos="0">
                  <a:schemeClr val="accent6">
                    <a:lumMod val="80000"/>
                    <a:lumOff val="20000"/>
                    <a:lumMod val="110000"/>
                    <a:satMod val="105000"/>
                    <a:tint val="67000"/>
                  </a:schemeClr>
                </a:gs>
                <a:gs pos="50000">
                  <a:schemeClr val="accent6">
                    <a:lumMod val="80000"/>
                    <a:lumOff val="20000"/>
                    <a:lumMod val="105000"/>
                    <a:satMod val="103000"/>
                    <a:tint val="73000"/>
                  </a:schemeClr>
                </a:gs>
                <a:gs pos="100000">
                  <a:schemeClr val="accent6">
                    <a:lumMod val="80000"/>
                    <a:lumOff val="20000"/>
                    <a:lumMod val="105000"/>
                    <a:satMod val="109000"/>
                    <a:tint val="81000"/>
                  </a:schemeClr>
                </a:gs>
              </a:gsLst>
              <a:lin ang="5400000" scaled="0"/>
            </a:gradFill>
            <a:ln w="9525" cap="flat" cmpd="sng" algn="ctr">
              <a:solidFill>
                <a:schemeClr val="accent6">
                  <a:lumMod val="80000"/>
                  <a:lumOff val="20000"/>
                  <a:shade val="95000"/>
                </a:schemeClr>
              </a:solidFill>
              <a:round/>
            </a:ln>
            <a:effectLst/>
          </c:spPr>
          <c:invertIfNegative val="0"/>
          <c:cat>
            <c:numRef>
              <c:f>'Mobility 1 - Actual'!$D$23:$I$23</c:f>
              <c:numCache>
                <c:formatCode>General</c:formatCode>
                <c:ptCount val="6"/>
                <c:pt idx="0">
                  <c:v>2017</c:v>
                </c:pt>
                <c:pt idx="1">
                  <c:v>2018</c:v>
                </c:pt>
                <c:pt idx="2">
                  <c:v>2019</c:v>
                </c:pt>
                <c:pt idx="3">
                  <c:v>2020</c:v>
                </c:pt>
                <c:pt idx="4">
                  <c:v>2021</c:v>
                </c:pt>
                <c:pt idx="5">
                  <c:v>2022</c:v>
                </c:pt>
              </c:numCache>
            </c:numRef>
          </c:cat>
          <c:val>
            <c:numRef>
              <c:f>'Mobility 1 - Actual'!$D$28:$I$28</c:f>
              <c:numCache>
                <c:formatCode>0.00</c:formatCode>
                <c:ptCount val="6"/>
                <c:pt idx="0">
                  <c:v>0.77913395000000008</c:v>
                </c:pt>
                <c:pt idx="1">
                  <c:v>0.76988870000000009</c:v>
                </c:pt>
                <c:pt idx="2">
                  <c:v>0</c:v>
                </c:pt>
                <c:pt idx="3">
                  <c:v>0</c:v>
                </c:pt>
                <c:pt idx="4">
                  <c:v>0</c:v>
                </c:pt>
                <c:pt idx="5">
                  <c:v>0</c:v>
                </c:pt>
              </c:numCache>
            </c:numRef>
          </c:val>
          <c:extLst>
            <c:ext xmlns:c16="http://schemas.microsoft.com/office/drawing/2014/chart" uri="{C3380CC4-5D6E-409C-BE32-E72D297353CC}">
              <c16:uniqueId val="{00000000-6D33-4A59-B04A-5C0DC931DB24}"/>
            </c:ext>
          </c:extLst>
        </c:ser>
        <c:dLbls>
          <c:showLegendKey val="0"/>
          <c:showVal val="0"/>
          <c:showCatName val="0"/>
          <c:showSerName val="0"/>
          <c:showPercent val="0"/>
          <c:showBubbleSize val="0"/>
        </c:dLbls>
        <c:gapWidth val="75"/>
        <c:axId val="498602272"/>
        <c:axId val="498591936"/>
      </c:barChart>
      <c:lineChart>
        <c:grouping val="standard"/>
        <c:varyColors val="0"/>
        <c:ser>
          <c:idx val="7"/>
          <c:order val="0"/>
          <c:tx>
            <c:strRef>
              <c:f>'Mobility 1 - Actual'!$B$19</c:f>
              <c:strCache>
                <c:ptCount val="1"/>
                <c:pt idx="0">
                  <c:v>Motorcycle</c:v>
                </c:pt>
              </c:strCache>
            </c:strRef>
          </c:tx>
          <c:spPr>
            <a:ln w="15875" cap="rnd">
              <a:solidFill>
                <a:schemeClr val="accent5">
                  <a:lumMod val="80000"/>
                  <a:lumOff val="20000"/>
                </a:schemeClr>
              </a:solidFill>
              <a:round/>
            </a:ln>
            <a:effectLst/>
          </c:spPr>
          <c:marker>
            <c:symbol val="circle"/>
            <c:size val="5"/>
            <c:spPr>
              <a:gradFill rotWithShape="1">
                <a:gsLst>
                  <a:gs pos="0">
                    <a:schemeClr val="accent5">
                      <a:lumMod val="80000"/>
                      <a:lumOff val="20000"/>
                      <a:lumMod val="110000"/>
                      <a:satMod val="105000"/>
                      <a:tint val="67000"/>
                    </a:schemeClr>
                  </a:gs>
                  <a:gs pos="50000">
                    <a:schemeClr val="accent5">
                      <a:lumMod val="80000"/>
                      <a:lumOff val="20000"/>
                      <a:lumMod val="105000"/>
                      <a:satMod val="103000"/>
                      <a:tint val="73000"/>
                    </a:schemeClr>
                  </a:gs>
                  <a:gs pos="100000">
                    <a:schemeClr val="accent5">
                      <a:lumMod val="80000"/>
                      <a:lumOff val="20000"/>
                      <a:lumMod val="105000"/>
                      <a:satMod val="109000"/>
                      <a:tint val="81000"/>
                    </a:schemeClr>
                  </a:gs>
                </a:gsLst>
                <a:lin ang="5400000" scaled="0"/>
              </a:gradFill>
              <a:ln w="9525" cap="flat" cmpd="sng" algn="ctr">
                <a:solidFill>
                  <a:schemeClr val="accent5">
                    <a:lumMod val="80000"/>
                    <a:lumOff val="20000"/>
                    <a:shade val="95000"/>
                  </a:schemeClr>
                </a:solidFill>
                <a:round/>
              </a:ln>
              <a:effectLst/>
            </c:spPr>
          </c:marker>
          <c:cat>
            <c:numRef>
              <c:f>'Mobility 1 - Actual'!$D$17:$I$17</c:f>
              <c:numCache>
                <c:formatCode>General</c:formatCode>
                <c:ptCount val="6"/>
                <c:pt idx="0">
                  <c:v>2017</c:v>
                </c:pt>
                <c:pt idx="1">
                  <c:v>2018</c:v>
                </c:pt>
                <c:pt idx="2">
                  <c:v>2019</c:v>
                </c:pt>
                <c:pt idx="3">
                  <c:v>2020</c:v>
                </c:pt>
                <c:pt idx="4">
                  <c:v>2021</c:v>
                </c:pt>
                <c:pt idx="5">
                  <c:v>2022</c:v>
                </c:pt>
              </c:numCache>
            </c:numRef>
          </c:cat>
          <c:val>
            <c:numRef>
              <c:f>'Mobility 1 - Actual'!$D$19:$I$19</c:f>
              <c:numCache>
                <c:formatCode>General</c:formatCode>
                <c:ptCount val="6"/>
                <c:pt idx="0">
                  <c:v>555</c:v>
                </c:pt>
                <c:pt idx="1">
                  <c:v>670</c:v>
                </c:pt>
              </c:numCache>
            </c:numRef>
          </c:val>
          <c:smooth val="0"/>
          <c:extLst>
            <c:ext xmlns:c16="http://schemas.microsoft.com/office/drawing/2014/chart" uri="{C3380CC4-5D6E-409C-BE32-E72D297353CC}">
              <c16:uniqueId val="{00000001-6D33-4A59-B04A-5C0DC931DB24}"/>
            </c:ext>
          </c:extLst>
        </c:ser>
        <c:ser>
          <c:idx val="0"/>
          <c:order val="1"/>
          <c:tx>
            <c:strRef>
              <c:f>'Mobility 1 - Actual'!$B$18</c:f>
              <c:strCache>
                <c:ptCount val="1"/>
                <c:pt idx="0">
                  <c:v>Car</c:v>
                </c:pt>
              </c:strCache>
            </c:strRef>
          </c:tx>
          <c:spPr>
            <a:ln w="15875" cap="rnd">
              <a:solidFill>
                <a:schemeClr val="accent6"/>
              </a:solidFill>
              <a:round/>
            </a:ln>
            <a:effectLst/>
          </c:spPr>
          <c:marker>
            <c:symbol val="circle"/>
            <c:size val="5"/>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marker>
          <c:cat>
            <c:numRef>
              <c:f>'Mobility 1 - Actual'!$D$17:$I$17</c:f>
              <c:numCache>
                <c:formatCode>General</c:formatCode>
                <c:ptCount val="6"/>
                <c:pt idx="0">
                  <c:v>2017</c:v>
                </c:pt>
                <c:pt idx="1">
                  <c:v>2018</c:v>
                </c:pt>
                <c:pt idx="2">
                  <c:v>2019</c:v>
                </c:pt>
                <c:pt idx="3">
                  <c:v>2020</c:v>
                </c:pt>
                <c:pt idx="4">
                  <c:v>2021</c:v>
                </c:pt>
                <c:pt idx="5">
                  <c:v>2022</c:v>
                </c:pt>
              </c:numCache>
            </c:numRef>
          </c:cat>
          <c:val>
            <c:numRef>
              <c:f>'Mobility 1 - Actual'!$D$18:$I$18</c:f>
              <c:numCache>
                <c:formatCode>General</c:formatCode>
                <c:ptCount val="6"/>
                <c:pt idx="0">
                  <c:v>500</c:v>
                </c:pt>
                <c:pt idx="1">
                  <c:v>455</c:v>
                </c:pt>
              </c:numCache>
            </c:numRef>
          </c:val>
          <c:smooth val="0"/>
          <c:extLst>
            <c:ext xmlns:c16="http://schemas.microsoft.com/office/drawing/2014/chart" uri="{C3380CC4-5D6E-409C-BE32-E72D297353CC}">
              <c16:uniqueId val="{00000002-6D33-4A59-B04A-5C0DC931DB24}"/>
            </c:ext>
          </c:extLst>
        </c:ser>
        <c:ser>
          <c:idx val="2"/>
          <c:order val="2"/>
          <c:tx>
            <c:strRef>
              <c:f>'Mobility 1 - Actual'!$B$20</c:f>
              <c:strCache>
                <c:ptCount val="1"/>
                <c:pt idx="0">
                  <c:v>Bus</c:v>
                </c:pt>
              </c:strCache>
            </c:strRef>
          </c:tx>
          <c:spPr>
            <a:ln w="15875" cap="rnd">
              <a:solidFill>
                <a:schemeClr val="accent4"/>
              </a:solidFill>
              <a:round/>
            </a:ln>
            <a:effectLst/>
          </c:spPr>
          <c:marker>
            <c:symbol val="circle"/>
            <c:size val="5"/>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marker>
          <c:cat>
            <c:numRef>
              <c:f>'Mobility 1 - Actual'!$D$17:$I$17</c:f>
              <c:numCache>
                <c:formatCode>General</c:formatCode>
                <c:ptCount val="6"/>
                <c:pt idx="0">
                  <c:v>2017</c:v>
                </c:pt>
                <c:pt idx="1">
                  <c:v>2018</c:v>
                </c:pt>
                <c:pt idx="2">
                  <c:v>2019</c:v>
                </c:pt>
                <c:pt idx="3">
                  <c:v>2020</c:v>
                </c:pt>
                <c:pt idx="4">
                  <c:v>2021</c:v>
                </c:pt>
                <c:pt idx="5">
                  <c:v>2022</c:v>
                </c:pt>
              </c:numCache>
            </c:numRef>
          </c:cat>
          <c:val>
            <c:numRef>
              <c:f>'Mobility 1 - Actual'!$D$20:$I$20</c:f>
              <c:numCache>
                <c:formatCode>General</c:formatCode>
                <c:ptCount val="6"/>
                <c:pt idx="0">
                  <c:v>788</c:v>
                </c:pt>
                <c:pt idx="1">
                  <c:v>770</c:v>
                </c:pt>
              </c:numCache>
            </c:numRef>
          </c:val>
          <c:smooth val="0"/>
          <c:extLst>
            <c:ext xmlns:c16="http://schemas.microsoft.com/office/drawing/2014/chart" uri="{C3380CC4-5D6E-409C-BE32-E72D297353CC}">
              <c16:uniqueId val="{00000004-6D33-4A59-B04A-5C0DC931DB24}"/>
            </c:ext>
          </c:extLst>
        </c:ser>
        <c:dLbls>
          <c:showLegendKey val="0"/>
          <c:showVal val="0"/>
          <c:showCatName val="0"/>
          <c:showSerName val="0"/>
          <c:showPercent val="0"/>
          <c:showBubbleSize val="0"/>
        </c:dLbls>
        <c:marker val="1"/>
        <c:smooth val="0"/>
        <c:axId val="1447049808"/>
        <c:axId val="1206224352"/>
      </c:lineChart>
      <c:valAx>
        <c:axId val="4985919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en-MY"/>
                  <a:t>Annualy TCO2e emission</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n-US"/>
            </a:p>
          </c:txPr>
        </c:title>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498602272"/>
        <c:crosses val="autoZero"/>
        <c:crossBetween val="between"/>
        <c:majorUnit val="0.2"/>
      </c:valAx>
      <c:catAx>
        <c:axId val="49860227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498591936"/>
        <c:crosses val="autoZero"/>
        <c:auto val="1"/>
        <c:lblAlgn val="ctr"/>
        <c:lblOffset val="100"/>
        <c:noMultiLvlLbl val="0"/>
      </c:catAx>
      <c:valAx>
        <c:axId val="1206224352"/>
        <c:scaling>
          <c:orientation val="minMax"/>
        </c:scaling>
        <c:delete val="0"/>
        <c:axPos val="r"/>
        <c:title>
          <c:tx>
            <c:rich>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en-MY"/>
                  <a:t>ANNUAL VEHICLE KM</a:t>
                </a:r>
                <a:r>
                  <a:rPr lang="en-MY" baseline="0"/>
                  <a:t> TRAVEL</a:t>
                </a:r>
                <a:endParaRPr lang="en-MY"/>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47049808"/>
        <c:crosses val="max"/>
        <c:crossBetween val="between"/>
      </c:valAx>
      <c:catAx>
        <c:axId val="1447049808"/>
        <c:scaling>
          <c:orientation val="minMax"/>
        </c:scaling>
        <c:delete val="1"/>
        <c:axPos val="b"/>
        <c:numFmt formatCode="General" sourceLinked="1"/>
        <c:majorTickMark val="out"/>
        <c:minorTickMark val="none"/>
        <c:tickLblPos val="nextTo"/>
        <c:crossAx val="1206224352"/>
        <c:crosses val="autoZero"/>
        <c:auto val="1"/>
        <c:lblAlgn val="ctr"/>
        <c:lblOffset val="100"/>
        <c:noMultiLvlLbl val="0"/>
      </c:catAx>
      <c:spPr>
        <a:noFill/>
        <a:ln>
          <a:noFill/>
        </a:ln>
        <a:effectLst/>
      </c:spPr>
    </c:plotArea>
    <c:legend>
      <c:legendPos val="b"/>
      <c:layout>
        <c:manualLayout>
          <c:xMode val="edge"/>
          <c:yMode val="edge"/>
          <c:x val="5.6735457087471908E-2"/>
          <c:y val="0.87514764955455837"/>
          <c:w val="0.89088621275281765"/>
          <c:h val="0.1057364603618096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MY" sz="1100"/>
              <a:t>Annual Mobillity Emissions, tCO2e</a:t>
            </a:r>
            <a:r>
              <a:rPr lang="en-MY" sz="1100" baseline="0"/>
              <a:t> and Daily Average Vehicles Traffic Volume</a:t>
            </a:r>
            <a:endParaRPr lang="en-MY" sz="1100"/>
          </a:p>
        </c:rich>
      </c:tx>
      <c:layout>
        <c:manualLayout>
          <c:xMode val="edge"/>
          <c:yMode val="edge"/>
          <c:x val="0.13386533175839704"/>
          <c:y val="1.7662340552177615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manualLayout>
          <c:layoutTarget val="inner"/>
          <c:xMode val="edge"/>
          <c:yMode val="edge"/>
          <c:x val="0.13745148749905325"/>
          <c:y val="0.21310671473301993"/>
          <c:w val="0.73798107685999415"/>
          <c:h val="0.39827985164085461"/>
        </c:manualLayout>
      </c:layout>
      <c:barChart>
        <c:barDir val="col"/>
        <c:grouping val="clustered"/>
        <c:varyColors val="0"/>
        <c:ser>
          <c:idx val="0"/>
          <c:order val="0"/>
          <c:tx>
            <c:strRef>
              <c:f>'Mobility 2 - Estimate'!$A$51:$F$51</c:f>
              <c:strCache>
                <c:ptCount val="1"/>
                <c:pt idx="0">
                  <c:v>ANNUAL MOBILITY CARBON EMISSION DETAILS</c:v>
                </c:pt>
              </c:strCache>
            </c:strRef>
          </c:tx>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invertIfNegative val="0"/>
          <c:cat>
            <c:numRef>
              <c:f>'Mobility 2 - Estimate'!$A$44:$A$49</c:f>
              <c:numCache>
                <c:formatCode>General</c:formatCode>
                <c:ptCount val="6"/>
                <c:pt idx="0">
                  <c:v>2017</c:v>
                </c:pt>
                <c:pt idx="1">
                  <c:v>2018</c:v>
                </c:pt>
                <c:pt idx="2">
                  <c:v>2019</c:v>
                </c:pt>
                <c:pt idx="3">
                  <c:v>2020</c:v>
                </c:pt>
                <c:pt idx="4">
                  <c:v>2021</c:v>
                </c:pt>
                <c:pt idx="5">
                  <c:v>2022</c:v>
                </c:pt>
              </c:numCache>
            </c:numRef>
          </c:cat>
          <c:val>
            <c:numRef>
              <c:f>('Mobility 2 - Estimate'!$I$55,'Mobility 2 - Estimate'!$I$57,'Mobility 2 - Estimate'!$I$59,'Mobility 2 - Estimate'!$I$65)</c:f>
              <c:numCache>
                <c:formatCode>0.00</c:formatCode>
                <c:ptCount val="4"/>
                <c:pt idx="0">
                  <c:v>660.45455101362495</c:v>
                </c:pt>
                <c:pt idx="1">
                  <c:v>660.45455101362495</c:v>
                </c:pt>
                <c:pt idx="2">
                  <c:v>703.79364503712497</c:v>
                </c:pt>
                <c:pt idx="3">
                  <c:v>775.2970661971251</c:v>
                </c:pt>
              </c:numCache>
            </c:numRef>
          </c:val>
          <c:extLst>
            <c:ext xmlns:c16="http://schemas.microsoft.com/office/drawing/2014/chart" uri="{C3380CC4-5D6E-409C-BE32-E72D297353CC}">
              <c16:uniqueId val="{00000000-AF15-4872-986E-7ED309FB1B49}"/>
            </c:ext>
          </c:extLst>
        </c:ser>
        <c:dLbls>
          <c:showLegendKey val="0"/>
          <c:showVal val="0"/>
          <c:showCatName val="0"/>
          <c:showSerName val="0"/>
          <c:showPercent val="0"/>
          <c:showBubbleSize val="0"/>
        </c:dLbls>
        <c:gapWidth val="150"/>
        <c:axId val="498602272"/>
        <c:axId val="498591936"/>
      </c:barChart>
      <c:lineChart>
        <c:grouping val="standard"/>
        <c:varyColors val="0"/>
        <c:ser>
          <c:idx val="1"/>
          <c:order val="1"/>
          <c:tx>
            <c:strRef>
              <c:f>'Mobility 2 - Estimate'!$B$43</c:f>
              <c:strCache>
                <c:ptCount val="1"/>
                <c:pt idx="0">
                  <c:v>Motorcycle</c:v>
                </c:pt>
              </c:strCache>
            </c:strRef>
          </c:tx>
          <c:spPr>
            <a:ln w="15875" cap="rnd">
              <a:solidFill>
                <a:schemeClr val="accent5"/>
              </a:solidFill>
              <a:round/>
            </a:ln>
            <a:effectLst/>
          </c:spPr>
          <c:marker>
            <c:symbol val="circle"/>
            <c:size val="5"/>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marker>
          <c:cat>
            <c:numRef>
              <c:f>'Mobility 2 - Estimate'!$A$44:$A$49</c:f>
              <c:numCache>
                <c:formatCode>General</c:formatCode>
                <c:ptCount val="6"/>
                <c:pt idx="0">
                  <c:v>2017</c:v>
                </c:pt>
                <c:pt idx="1">
                  <c:v>2018</c:v>
                </c:pt>
                <c:pt idx="2">
                  <c:v>2019</c:v>
                </c:pt>
                <c:pt idx="3">
                  <c:v>2020</c:v>
                </c:pt>
                <c:pt idx="4">
                  <c:v>2021</c:v>
                </c:pt>
                <c:pt idx="5">
                  <c:v>2022</c:v>
                </c:pt>
              </c:numCache>
            </c:numRef>
          </c:cat>
          <c:val>
            <c:numRef>
              <c:f>'Mobility 2 - Estimate'!$B$44:$B$49</c:f>
              <c:numCache>
                <c:formatCode>General</c:formatCode>
                <c:ptCount val="6"/>
                <c:pt idx="0">
                  <c:v>645</c:v>
                </c:pt>
                <c:pt idx="1">
                  <c:v>645</c:v>
                </c:pt>
                <c:pt idx="2">
                  <c:v>665</c:v>
                </c:pt>
                <c:pt idx="3">
                  <c:v>665</c:v>
                </c:pt>
                <c:pt idx="4">
                  <c:v>665</c:v>
                </c:pt>
                <c:pt idx="5">
                  <c:v>650</c:v>
                </c:pt>
              </c:numCache>
            </c:numRef>
          </c:val>
          <c:smooth val="0"/>
          <c:extLst>
            <c:ext xmlns:c16="http://schemas.microsoft.com/office/drawing/2014/chart" uri="{C3380CC4-5D6E-409C-BE32-E72D297353CC}">
              <c16:uniqueId val="{00000001-AF15-4872-986E-7ED309FB1B49}"/>
            </c:ext>
          </c:extLst>
        </c:ser>
        <c:ser>
          <c:idx val="2"/>
          <c:order val="2"/>
          <c:tx>
            <c:strRef>
              <c:f>'Mobility 2 - Estimate'!$C$43</c:f>
              <c:strCache>
                <c:ptCount val="1"/>
                <c:pt idx="0">
                  <c:v>Car</c:v>
                </c:pt>
              </c:strCache>
            </c:strRef>
          </c:tx>
          <c:spPr>
            <a:ln w="15875" cap="rnd">
              <a:solidFill>
                <a:schemeClr val="accent4"/>
              </a:solidFill>
              <a:round/>
            </a:ln>
            <a:effectLst/>
          </c:spPr>
          <c:marker>
            <c:symbol val="circle"/>
            <c:size val="5"/>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marker>
          <c:cat>
            <c:numRef>
              <c:f>'Mobility 2 - Estimate'!$A$44:$A$49</c:f>
              <c:numCache>
                <c:formatCode>General</c:formatCode>
                <c:ptCount val="6"/>
                <c:pt idx="0">
                  <c:v>2017</c:v>
                </c:pt>
                <c:pt idx="1">
                  <c:v>2018</c:v>
                </c:pt>
                <c:pt idx="2">
                  <c:v>2019</c:v>
                </c:pt>
                <c:pt idx="3">
                  <c:v>2020</c:v>
                </c:pt>
                <c:pt idx="4">
                  <c:v>2021</c:v>
                </c:pt>
                <c:pt idx="5">
                  <c:v>2022</c:v>
                </c:pt>
              </c:numCache>
            </c:numRef>
          </c:cat>
          <c:val>
            <c:numRef>
              <c:f>'Mobility 2 - Estimate'!$C$44:$C$49</c:f>
              <c:numCache>
                <c:formatCode>General</c:formatCode>
                <c:ptCount val="6"/>
                <c:pt idx="0">
                  <c:v>4313</c:v>
                </c:pt>
                <c:pt idx="1">
                  <c:v>4313</c:v>
                </c:pt>
                <c:pt idx="2">
                  <c:v>4685</c:v>
                </c:pt>
                <c:pt idx="3">
                  <c:v>4685</c:v>
                </c:pt>
                <c:pt idx="4">
                  <c:v>4685</c:v>
                </c:pt>
                <c:pt idx="5">
                  <c:v>4624</c:v>
                </c:pt>
              </c:numCache>
            </c:numRef>
          </c:val>
          <c:smooth val="0"/>
          <c:extLst>
            <c:ext xmlns:c16="http://schemas.microsoft.com/office/drawing/2014/chart" uri="{C3380CC4-5D6E-409C-BE32-E72D297353CC}">
              <c16:uniqueId val="{00000002-AF15-4872-986E-7ED309FB1B49}"/>
            </c:ext>
          </c:extLst>
        </c:ser>
        <c:ser>
          <c:idx val="3"/>
          <c:order val="3"/>
          <c:tx>
            <c:strRef>
              <c:f>'Mobility 2 - Estimate'!$D$43</c:f>
              <c:strCache>
                <c:ptCount val="1"/>
                <c:pt idx="0">
                  <c:v>MPV</c:v>
                </c:pt>
              </c:strCache>
            </c:strRef>
          </c:tx>
          <c:spPr>
            <a:ln w="15875" cap="rnd">
              <a:solidFill>
                <a:schemeClr val="accent6">
                  <a:lumMod val="60000"/>
                </a:schemeClr>
              </a:solidFill>
              <a:round/>
            </a:ln>
            <a:effectLst/>
          </c:spPr>
          <c:marker>
            <c:symbol val="circle"/>
            <c:size val="5"/>
            <c:spPr>
              <a:gradFill rotWithShape="1">
                <a:gsLst>
                  <a:gs pos="0">
                    <a:schemeClr val="accent6">
                      <a:lumMod val="60000"/>
                      <a:lumMod val="110000"/>
                      <a:satMod val="105000"/>
                      <a:tint val="67000"/>
                    </a:schemeClr>
                  </a:gs>
                  <a:gs pos="50000">
                    <a:schemeClr val="accent6">
                      <a:lumMod val="60000"/>
                      <a:lumMod val="105000"/>
                      <a:satMod val="103000"/>
                      <a:tint val="73000"/>
                    </a:schemeClr>
                  </a:gs>
                  <a:gs pos="100000">
                    <a:schemeClr val="accent6">
                      <a:lumMod val="60000"/>
                      <a:lumMod val="105000"/>
                      <a:satMod val="109000"/>
                      <a:tint val="81000"/>
                    </a:schemeClr>
                  </a:gs>
                </a:gsLst>
                <a:lin ang="5400000" scaled="0"/>
              </a:gradFill>
              <a:ln w="9525" cap="flat" cmpd="sng" algn="ctr">
                <a:solidFill>
                  <a:schemeClr val="accent6">
                    <a:lumMod val="60000"/>
                    <a:shade val="95000"/>
                  </a:schemeClr>
                </a:solidFill>
                <a:round/>
              </a:ln>
              <a:effectLst/>
            </c:spPr>
          </c:marker>
          <c:cat>
            <c:numRef>
              <c:f>'Mobility 2 - Estimate'!$A$44:$A$49</c:f>
              <c:numCache>
                <c:formatCode>General</c:formatCode>
                <c:ptCount val="6"/>
                <c:pt idx="0">
                  <c:v>2017</c:v>
                </c:pt>
                <c:pt idx="1">
                  <c:v>2018</c:v>
                </c:pt>
                <c:pt idx="2">
                  <c:v>2019</c:v>
                </c:pt>
                <c:pt idx="3">
                  <c:v>2020</c:v>
                </c:pt>
                <c:pt idx="4">
                  <c:v>2021</c:v>
                </c:pt>
                <c:pt idx="5">
                  <c:v>2022</c:v>
                </c:pt>
              </c:numCache>
            </c:numRef>
          </c:cat>
          <c:val>
            <c:numRef>
              <c:f>'Mobility 2 - Estimate'!$D$44:$D$49</c:f>
              <c:numCache>
                <c:formatCode>General</c:formatCode>
                <c:ptCount val="6"/>
                <c:pt idx="0">
                  <c:v>1969</c:v>
                </c:pt>
                <c:pt idx="1">
                  <c:v>1969</c:v>
                </c:pt>
                <c:pt idx="2">
                  <c:v>2064</c:v>
                </c:pt>
                <c:pt idx="3">
                  <c:v>2064</c:v>
                </c:pt>
                <c:pt idx="4">
                  <c:v>2064</c:v>
                </c:pt>
                <c:pt idx="5">
                  <c:v>3056</c:v>
                </c:pt>
              </c:numCache>
            </c:numRef>
          </c:val>
          <c:smooth val="0"/>
          <c:extLst>
            <c:ext xmlns:c16="http://schemas.microsoft.com/office/drawing/2014/chart" uri="{C3380CC4-5D6E-409C-BE32-E72D297353CC}">
              <c16:uniqueId val="{00000003-AF15-4872-986E-7ED309FB1B49}"/>
            </c:ext>
          </c:extLst>
        </c:ser>
        <c:ser>
          <c:idx val="4"/>
          <c:order val="4"/>
          <c:tx>
            <c:strRef>
              <c:f>'Mobility 2 - Estimate'!$E$43</c:f>
              <c:strCache>
                <c:ptCount val="1"/>
                <c:pt idx="0">
                  <c:v>Bus</c:v>
                </c:pt>
              </c:strCache>
            </c:strRef>
          </c:tx>
          <c:spPr>
            <a:ln w="15875" cap="rnd">
              <a:solidFill>
                <a:schemeClr val="accent5">
                  <a:lumMod val="60000"/>
                </a:schemeClr>
              </a:solidFill>
              <a:round/>
            </a:ln>
            <a:effectLst/>
          </c:spPr>
          <c:marker>
            <c:symbol val="circle"/>
            <c:size val="5"/>
            <c:spPr>
              <a:gradFill rotWithShape="1">
                <a:gsLst>
                  <a:gs pos="0">
                    <a:schemeClr val="accent5">
                      <a:lumMod val="60000"/>
                      <a:lumMod val="110000"/>
                      <a:satMod val="105000"/>
                      <a:tint val="67000"/>
                    </a:schemeClr>
                  </a:gs>
                  <a:gs pos="50000">
                    <a:schemeClr val="accent5">
                      <a:lumMod val="60000"/>
                      <a:lumMod val="105000"/>
                      <a:satMod val="103000"/>
                      <a:tint val="73000"/>
                    </a:schemeClr>
                  </a:gs>
                  <a:gs pos="100000">
                    <a:schemeClr val="accent5">
                      <a:lumMod val="60000"/>
                      <a:lumMod val="105000"/>
                      <a:satMod val="109000"/>
                      <a:tint val="81000"/>
                    </a:schemeClr>
                  </a:gs>
                </a:gsLst>
                <a:lin ang="5400000" scaled="0"/>
              </a:gradFill>
              <a:ln w="9525" cap="flat" cmpd="sng" algn="ctr">
                <a:solidFill>
                  <a:schemeClr val="accent5">
                    <a:lumMod val="60000"/>
                    <a:shade val="95000"/>
                  </a:schemeClr>
                </a:solidFill>
                <a:round/>
              </a:ln>
              <a:effectLst/>
            </c:spPr>
          </c:marker>
          <c:cat>
            <c:numRef>
              <c:f>'Mobility 2 - Estimate'!$A$44:$A$49</c:f>
              <c:numCache>
                <c:formatCode>General</c:formatCode>
                <c:ptCount val="6"/>
                <c:pt idx="0">
                  <c:v>2017</c:v>
                </c:pt>
                <c:pt idx="1">
                  <c:v>2018</c:v>
                </c:pt>
                <c:pt idx="2">
                  <c:v>2019</c:v>
                </c:pt>
                <c:pt idx="3">
                  <c:v>2020</c:v>
                </c:pt>
                <c:pt idx="4">
                  <c:v>2021</c:v>
                </c:pt>
                <c:pt idx="5">
                  <c:v>2022</c:v>
                </c:pt>
              </c:numCache>
            </c:numRef>
          </c:cat>
          <c:val>
            <c:numRef>
              <c:f>'Mobility 2 - Estimate'!$E$44:$E$49</c:f>
              <c:numCache>
                <c:formatCode>General</c:formatCode>
                <c:ptCount val="6"/>
                <c:pt idx="0">
                  <c:v>53</c:v>
                </c:pt>
                <c:pt idx="1">
                  <c:v>53</c:v>
                </c:pt>
                <c:pt idx="2">
                  <c:v>56</c:v>
                </c:pt>
                <c:pt idx="3">
                  <c:v>56</c:v>
                </c:pt>
                <c:pt idx="4">
                  <c:v>56</c:v>
                </c:pt>
                <c:pt idx="5">
                  <c:v>55</c:v>
                </c:pt>
              </c:numCache>
            </c:numRef>
          </c:val>
          <c:smooth val="0"/>
          <c:extLst>
            <c:ext xmlns:c16="http://schemas.microsoft.com/office/drawing/2014/chart" uri="{C3380CC4-5D6E-409C-BE32-E72D297353CC}">
              <c16:uniqueId val="{00000004-AF15-4872-986E-7ED309FB1B49}"/>
            </c:ext>
          </c:extLst>
        </c:ser>
        <c:ser>
          <c:idx val="5"/>
          <c:order val="5"/>
          <c:tx>
            <c:strRef>
              <c:f>'Mobility 2 - Estimate'!$F$43</c:f>
              <c:strCache>
                <c:ptCount val="1"/>
                <c:pt idx="0">
                  <c:v>Light Trck</c:v>
                </c:pt>
              </c:strCache>
            </c:strRef>
          </c:tx>
          <c:spPr>
            <a:ln w="15875" cap="rnd">
              <a:solidFill>
                <a:schemeClr val="accent4">
                  <a:lumMod val="60000"/>
                </a:schemeClr>
              </a:solidFill>
              <a:round/>
            </a:ln>
            <a:effectLst/>
          </c:spPr>
          <c:marker>
            <c:symbol val="circle"/>
            <c:size val="5"/>
            <c:spPr>
              <a:gradFill rotWithShape="1">
                <a:gsLst>
                  <a:gs pos="0">
                    <a:schemeClr val="accent4">
                      <a:lumMod val="60000"/>
                      <a:lumMod val="110000"/>
                      <a:satMod val="105000"/>
                      <a:tint val="67000"/>
                    </a:schemeClr>
                  </a:gs>
                  <a:gs pos="50000">
                    <a:schemeClr val="accent4">
                      <a:lumMod val="60000"/>
                      <a:lumMod val="105000"/>
                      <a:satMod val="103000"/>
                      <a:tint val="73000"/>
                    </a:schemeClr>
                  </a:gs>
                  <a:gs pos="100000">
                    <a:schemeClr val="accent4">
                      <a:lumMod val="60000"/>
                      <a:lumMod val="105000"/>
                      <a:satMod val="109000"/>
                      <a:tint val="81000"/>
                    </a:schemeClr>
                  </a:gs>
                </a:gsLst>
                <a:lin ang="5400000" scaled="0"/>
              </a:gradFill>
              <a:ln w="9525" cap="flat" cmpd="sng" algn="ctr">
                <a:solidFill>
                  <a:schemeClr val="accent4">
                    <a:lumMod val="60000"/>
                    <a:shade val="95000"/>
                  </a:schemeClr>
                </a:solidFill>
                <a:round/>
              </a:ln>
              <a:effectLst/>
            </c:spPr>
          </c:marker>
          <c:cat>
            <c:numRef>
              <c:f>'Mobility 2 - Estimate'!$A$44:$A$49</c:f>
              <c:numCache>
                <c:formatCode>General</c:formatCode>
                <c:ptCount val="6"/>
                <c:pt idx="0">
                  <c:v>2017</c:v>
                </c:pt>
                <c:pt idx="1">
                  <c:v>2018</c:v>
                </c:pt>
                <c:pt idx="2">
                  <c:v>2019</c:v>
                </c:pt>
                <c:pt idx="3">
                  <c:v>2020</c:v>
                </c:pt>
                <c:pt idx="4">
                  <c:v>2021</c:v>
                </c:pt>
                <c:pt idx="5">
                  <c:v>2022</c:v>
                </c:pt>
              </c:numCache>
            </c:numRef>
          </c:cat>
          <c:val>
            <c:numRef>
              <c:f>'Mobility 2 - Estimate'!$F$44:$F$49</c:f>
              <c:numCache>
                <c:formatCode>General</c:formatCode>
                <c:ptCount val="6"/>
                <c:pt idx="0">
                  <c:v>97</c:v>
                </c:pt>
                <c:pt idx="1">
                  <c:v>97</c:v>
                </c:pt>
                <c:pt idx="2">
                  <c:v>66</c:v>
                </c:pt>
                <c:pt idx="3">
                  <c:v>66</c:v>
                </c:pt>
                <c:pt idx="4">
                  <c:v>66</c:v>
                </c:pt>
                <c:pt idx="5">
                  <c:v>65</c:v>
                </c:pt>
              </c:numCache>
            </c:numRef>
          </c:val>
          <c:smooth val="0"/>
          <c:extLst>
            <c:ext xmlns:c16="http://schemas.microsoft.com/office/drawing/2014/chart" uri="{C3380CC4-5D6E-409C-BE32-E72D297353CC}">
              <c16:uniqueId val="{00000005-AF15-4872-986E-7ED309FB1B49}"/>
            </c:ext>
          </c:extLst>
        </c:ser>
        <c:ser>
          <c:idx val="6"/>
          <c:order val="6"/>
          <c:tx>
            <c:strRef>
              <c:f>'Mobility 2 - Estimate'!$G$43</c:f>
              <c:strCache>
                <c:ptCount val="1"/>
                <c:pt idx="0">
                  <c:v>Heavy Trck</c:v>
                </c:pt>
              </c:strCache>
            </c:strRef>
          </c:tx>
          <c:spPr>
            <a:ln w="15875" cap="rnd">
              <a:solidFill>
                <a:schemeClr val="accent6">
                  <a:lumMod val="80000"/>
                  <a:lumOff val="20000"/>
                </a:schemeClr>
              </a:solidFill>
              <a:round/>
            </a:ln>
            <a:effectLst/>
          </c:spPr>
          <c:marker>
            <c:symbol val="none"/>
          </c:marker>
          <c:cat>
            <c:numRef>
              <c:f>'Mobility 2 - Estimate'!$A$44:$A$49</c:f>
              <c:numCache>
                <c:formatCode>General</c:formatCode>
                <c:ptCount val="6"/>
                <c:pt idx="0">
                  <c:v>2017</c:v>
                </c:pt>
                <c:pt idx="1">
                  <c:v>2018</c:v>
                </c:pt>
                <c:pt idx="2">
                  <c:v>2019</c:v>
                </c:pt>
                <c:pt idx="3">
                  <c:v>2020</c:v>
                </c:pt>
                <c:pt idx="4">
                  <c:v>2021</c:v>
                </c:pt>
                <c:pt idx="5">
                  <c:v>2022</c:v>
                </c:pt>
              </c:numCache>
            </c:numRef>
          </c:cat>
          <c:val>
            <c:numRef>
              <c:f>'Mobility 2 - Estimate'!$G$44:$G$49</c:f>
              <c:numCache>
                <c:formatCode>General</c:formatCode>
                <c:ptCount val="6"/>
                <c:pt idx="0">
                  <c:v>26</c:v>
                </c:pt>
                <c:pt idx="1">
                  <c:v>26</c:v>
                </c:pt>
                <c:pt idx="2">
                  <c:v>20</c:v>
                </c:pt>
                <c:pt idx="3">
                  <c:v>20</c:v>
                </c:pt>
                <c:pt idx="4">
                  <c:v>20</c:v>
                </c:pt>
                <c:pt idx="5">
                  <c:v>20</c:v>
                </c:pt>
              </c:numCache>
            </c:numRef>
          </c:val>
          <c:smooth val="0"/>
          <c:extLst>
            <c:ext xmlns:c16="http://schemas.microsoft.com/office/drawing/2014/chart" uri="{C3380CC4-5D6E-409C-BE32-E72D297353CC}">
              <c16:uniqueId val="{00000006-AF15-4872-986E-7ED309FB1B49}"/>
            </c:ext>
          </c:extLst>
        </c:ser>
        <c:dLbls>
          <c:showLegendKey val="0"/>
          <c:showVal val="0"/>
          <c:showCatName val="0"/>
          <c:showSerName val="0"/>
          <c:showPercent val="0"/>
          <c:showBubbleSize val="0"/>
        </c:dLbls>
        <c:marker val="1"/>
        <c:smooth val="0"/>
        <c:axId val="1673033391"/>
        <c:axId val="2007265039"/>
      </c:lineChart>
      <c:valAx>
        <c:axId val="4985919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en-MY"/>
                  <a:t>Annual</a:t>
                </a:r>
                <a:r>
                  <a:rPr lang="en-MY" baseline="0"/>
                  <a:t> CARBON EMIISION</a:t>
                </a:r>
                <a:r>
                  <a:rPr lang="en-MY"/>
                  <a:t> TCO2e</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498602272"/>
        <c:crosses val="autoZero"/>
        <c:crossBetween val="between"/>
        <c:majorUnit val="200"/>
      </c:valAx>
      <c:catAx>
        <c:axId val="49860227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498591936"/>
        <c:crosses val="autoZero"/>
        <c:auto val="1"/>
        <c:lblAlgn val="ctr"/>
        <c:lblOffset val="100"/>
        <c:noMultiLvlLbl val="0"/>
      </c:catAx>
      <c:valAx>
        <c:axId val="2007265039"/>
        <c:scaling>
          <c:orientation val="minMax"/>
        </c:scaling>
        <c:delete val="0"/>
        <c:axPos val="r"/>
        <c:title>
          <c:tx>
            <c:rich>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en-MY"/>
                  <a:t>Daily Average Traffic Volume</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673033391"/>
        <c:crosses val="max"/>
        <c:crossBetween val="between"/>
        <c:majorUnit val="1000"/>
        <c:minorUnit val="100"/>
      </c:valAx>
      <c:catAx>
        <c:axId val="1673033391"/>
        <c:scaling>
          <c:orientation val="minMax"/>
        </c:scaling>
        <c:delete val="1"/>
        <c:axPos val="b"/>
        <c:numFmt formatCode="General" sourceLinked="1"/>
        <c:majorTickMark val="out"/>
        <c:minorTickMark val="none"/>
        <c:tickLblPos val="nextTo"/>
        <c:crossAx val="2007265039"/>
        <c:crosses val="autoZero"/>
        <c:auto val="1"/>
        <c:lblAlgn val="ctr"/>
        <c:lblOffset val="100"/>
        <c:noMultiLvlLbl val="0"/>
      </c:catAx>
      <c:spPr>
        <a:noFill/>
        <a:ln>
          <a:noFill/>
        </a:ln>
        <a:effectLst/>
      </c:spPr>
    </c:plotArea>
    <c:legend>
      <c:legendPos val="b"/>
      <c:layout>
        <c:manualLayout>
          <c:xMode val="edge"/>
          <c:yMode val="edge"/>
          <c:x val="5.7758193976687078E-2"/>
          <c:y val="0.75848307460134079"/>
          <c:w val="0.8844834355806569"/>
          <c:h val="0.2156403302695716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MY"/>
              <a:t>ANNUAL MOBILITY EMISSIONS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barChart>
        <c:barDir val="col"/>
        <c:grouping val="clustered"/>
        <c:varyColors val="0"/>
        <c:ser>
          <c:idx val="6"/>
          <c:order val="6"/>
          <c:tx>
            <c:strRef>
              <c:f>'Mobility 2 - Traffic (void2)'!$I$21</c:f>
              <c:strCache>
                <c:ptCount val="1"/>
                <c:pt idx="0">
                  <c:v>Total Emission, tCO2e per year</c:v>
                </c:pt>
              </c:strCache>
            </c:strRef>
          </c:tx>
          <c:spPr>
            <a:solidFill>
              <a:schemeClr val="accent5"/>
            </a:solidFill>
            <a:ln w="9525" cap="flat" cmpd="sng" algn="ctr">
              <a:solidFill>
                <a:schemeClr val="accent6">
                  <a:lumMod val="80000"/>
                  <a:lumOff val="20000"/>
                  <a:shade val="95000"/>
                </a:schemeClr>
              </a:solidFill>
              <a:round/>
            </a:ln>
            <a:effectLst/>
          </c:spPr>
          <c:invertIfNegative val="0"/>
          <c:cat>
            <c:strRef>
              <c:f>'Mobility 2 - Traffic (void2)'!$A$22:$A$25</c:f>
              <c:strCache>
                <c:ptCount val="4"/>
                <c:pt idx="0">
                  <c:v>Baseline</c:v>
                </c:pt>
                <c:pt idx="1">
                  <c:v>2018</c:v>
                </c:pt>
                <c:pt idx="2">
                  <c:v>2019</c:v>
                </c:pt>
                <c:pt idx="3">
                  <c:v>2020</c:v>
                </c:pt>
              </c:strCache>
            </c:strRef>
          </c:cat>
          <c:val>
            <c:numRef>
              <c:f>'Mobility 2 - Traffic (void2)'!$I$22:$I$25</c:f>
              <c:numCache>
                <c:formatCode>_(* #,##0.00_);_(* \(#,##0.00\);_(* "-"??_);_(@_)</c:formatCode>
                <c:ptCount val="4"/>
                <c:pt idx="0">
                  <c:v>1832.4516474442501</c:v>
                </c:pt>
                <c:pt idx="1">
                  <c:v>1900.0907362698752</c:v>
                </c:pt>
                <c:pt idx="2">
                  <c:v>1957.0456581451249</c:v>
                </c:pt>
                <c:pt idx="3">
                  <c:v>0</c:v>
                </c:pt>
              </c:numCache>
            </c:numRef>
          </c:val>
          <c:extLst>
            <c:ext xmlns:c16="http://schemas.microsoft.com/office/drawing/2014/chart" uri="{C3380CC4-5D6E-409C-BE32-E72D297353CC}">
              <c16:uniqueId val="{00000000-9EB5-4B46-96A5-1F3B0F1FE8FD}"/>
            </c:ext>
          </c:extLst>
        </c:ser>
        <c:dLbls>
          <c:showLegendKey val="0"/>
          <c:showVal val="0"/>
          <c:showCatName val="0"/>
          <c:showSerName val="0"/>
          <c:showPercent val="0"/>
          <c:showBubbleSize val="0"/>
        </c:dLbls>
        <c:gapWidth val="75"/>
        <c:axId val="1920810223"/>
        <c:axId val="1666309823"/>
      </c:barChart>
      <c:lineChart>
        <c:grouping val="standard"/>
        <c:varyColors val="0"/>
        <c:ser>
          <c:idx val="7"/>
          <c:order val="0"/>
          <c:tx>
            <c:strRef>
              <c:f>'Mobility 2 - Traffic (void2)'!$B$21</c:f>
              <c:strCache>
                <c:ptCount val="1"/>
                <c:pt idx="0">
                  <c:v>Motorcycle</c:v>
                </c:pt>
              </c:strCache>
            </c:strRef>
          </c:tx>
          <c:spPr>
            <a:ln w="15875" cap="rnd">
              <a:solidFill>
                <a:schemeClr val="accent5">
                  <a:lumMod val="80000"/>
                  <a:lumOff val="20000"/>
                </a:schemeClr>
              </a:solidFill>
              <a:round/>
            </a:ln>
            <a:effectLst/>
          </c:spPr>
          <c:marker>
            <c:symbol val="circle"/>
            <c:size val="5"/>
            <c:spPr>
              <a:gradFill rotWithShape="1">
                <a:gsLst>
                  <a:gs pos="0">
                    <a:schemeClr val="accent5">
                      <a:lumMod val="80000"/>
                      <a:lumOff val="20000"/>
                      <a:lumMod val="110000"/>
                      <a:satMod val="105000"/>
                      <a:tint val="67000"/>
                    </a:schemeClr>
                  </a:gs>
                  <a:gs pos="50000">
                    <a:schemeClr val="accent5">
                      <a:lumMod val="80000"/>
                      <a:lumOff val="20000"/>
                      <a:lumMod val="105000"/>
                      <a:satMod val="103000"/>
                      <a:tint val="73000"/>
                    </a:schemeClr>
                  </a:gs>
                  <a:gs pos="100000">
                    <a:schemeClr val="accent5">
                      <a:lumMod val="80000"/>
                      <a:lumOff val="20000"/>
                      <a:lumMod val="105000"/>
                      <a:satMod val="109000"/>
                      <a:tint val="81000"/>
                    </a:schemeClr>
                  </a:gs>
                </a:gsLst>
                <a:lin ang="5400000" scaled="0"/>
              </a:gradFill>
              <a:ln w="9525" cap="flat" cmpd="sng" algn="ctr">
                <a:solidFill>
                  <a:schemeClr val="accent5">
                    <a:lumMod val="80000"/>
                    <a:lumOff val="20000"/>
                    <a:shade val="95000"/>
                  </a:schemeClr>
                </a:solidFill>
                <a:round/>
              </a:ln>
              <a:effectLst/>
            </c:spPr>
          </c:marker>
          <c:cat>
            <c:strRef>
              <c:f>'Mobility 2 - Traffic (void2)'!$A$22:$A$25</c:f>
              <c:strCache>
                <c:ptCount val="4"/>
                <c:pt idx="0">
                  <c:v>Baseline</c:v>
                </c:pt>
                <c:pt idx="1">
                  <c:v>2018</c:v>
                </c:pt>
                <c:pt idx="2">
                  <c:v>2019</c:v>
                </c:pt>
                <c:pt idx="3">
                  <c:v>2020</c:v>
                </c:pt>
              </c:strCache>
            </c:strRef>
          </c:cat>
          <c:val>
            <c:numRef>
              <c:f>'Mobility 2 - Traffic (void2)'!$B$22:$B$25</c:f>
              <c:numCache>
                <c:formatCode>0</c:formatCode>
                <c:ptCount val="4"/>
                <c:pt idx="0" formatCode="General">
                  <c:v>4350</c:v>
                </c:pt>
                <c:pt idx="1">
                  <c:v>4524</c:v>
                </c:pt>
                <c:pt idx="2" formatCode="General">
                  <c:v>4659</c:v>
                </c:pt>
              </c:numCache>
            </c:numRef>
          </c:val>
          <c:smooth val="0"/>
          <c:extLst>
            <c:ext xmlns:c16="http://schemas.microsoft.com/office/drawing/2014/chart" uri="{C3380CC4-5D6E-409C-BE32-E72D297353CC}">
              <c16:uniqueId val="{00000001-9EB5-4B46-96A5-1F3B0F1FE8FD}"/>
            </c:ext>
          </c:extLst>
        </c:ser>
        <c:ser>
          <c:idx val="0"/>
          <c:order val="1"/>
          <c:tx>
            <c:strRef>
              <c:f>'Mobility 2 - Traffic (void2)'!$C$21</c:f>
              <c:strCache>
                <c:ptCount val="1"/>
                <c:pt idx="0">
                  <c:v>Car</c:v>
                </c:pt>
              </c:strCache>
            </c:strRef>
          </c:tx>
          <c:spPr>
            <a:ln w="15875" cap="rnd">
              <a:solidFill>
                <a:schemeClr val="accent6"/>
              </a:solidFill>
              <a:round/>
            </a:ln>
            <a:effectLst/>
          </c:spPr>
          <c:marker>
            <c:symbol val="circle"/>
            <c:size val="5"/>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marker>
          <c:cat>
            <c:strRef>
              <c:f>'Mobility 2 - Traffic (void2)'!$A$22:$A$25</c:f>
              <c:strCache>
                <c:ptCount val="4"/>
                <c:pt idx="0">
                  <c:v>Baseline</c:v>
                </c:pt>
                <c:pt idx="1">
                  <c:v>2018</c:v>
                </c:pt>
                <c:pt idx="2">
                  <c:v>2019</c:v>
                </c:pt>
                <c:pt idx="3">
                  <c:v>2020</c:v>
                </c:pt>
              </c:strCache>
            </c:strRef>
          </c:cat>
          <c:val>
            <c:numRef>
              <c:f>'Mobility 2 - Traffic (void2)'!$C$22:$C$25</c:f>
              <c:numCache>
                <c:formatCode>0</c:formatCode>
                <c:ptCount val="4"/>
                <c:pt idx="0" formatCode="General">
                  <c:v>43272</c:v>
                </c:pt>
                <c:pt idx="1">
                  <c:v>45006</c:v>
                </c:pt>
                <c:pt idx="2" formatCode="General">
                  <c:v>46356</c:v>
                </c:pt>
              </c:numCache>
            </c:numRef>
          </c:val>
          <c:smooth val="0"/>
          <c:extLst>
            <c:ext xmlns:c16="http://schemas.microsoft.com/office/drawing/2014/chart" uri="{C3380CC4-5D6E-409C-BE32-E72D297353CC}">
              <c16:uniqueId val="{00000002-9EB5-4B46-96A5-1F3B0F1FE8FD}"/>
            </c:ext>
          </c:extLst>
        </c:ser>
        <c:ser>
          <c:idx val="1"/>
          <c:order val="2"/>
          <c:tx>
            <c:strRef>
              <c:f>'Mobility 2 - Traffic (void2)'!$D$21</c:f>
              <c:strCache>
                <c:ptCount val="1"/>
                <c:pt idx="0">
                  <c:v>MPV</c:v>
                </c:pt>
              </c:strCache>
            </c:strRef>
          </c:tx>
          <c:spPr>
            <a:ln w="15875" cap="rnd">
              <a:solidFill>
                <a:schemeClr val="accent5"/>
              </a:solidFill>
              <a:round/>
            </a:ln>
            <a:effectLst/>
          </c:spPr>
          <c:marker>
            <c:symbol val="circle"/>
            <c:size val="5"/>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marker>
          <c:cat>
            <c:strRef>
              <c:f>'Mobility 2 - Traffic (void2)'!$A$22:$A$25</c:f>
              <c:strCache>
                <c:ptCount val="4"/>
                <c:pt idx="0">
                  <c:v>Baseline</c:v>
                </c:pt>
                <c:pt idx="1">
                  <c:v>2018</c:v>
                </c:pt>
                <c:pt idx="2">
                  <c:v>2019</c:v>
                </c:pt>
                <c:pt idx="3">
                  <c:v>2020</c:v>
                </c:pt>
              </c:strCache>
            </c:strRef>
          </c:cat>
          <c:val>
            <c:numRef>
              <c:f>'Mobility 2 - Traffic (void2)'!$D$22:$D$25</c:f>
              <c:numCache>
                <c:formatCode>0</c:formatCode>
                <c:ptCount val="4"/>
                <c:pt idx="0" formatCode="General">
                  <c:v>4461</c:v>
                </c:pt>
                <c:pt idx="1">
                  <c:v>4640</c:v>
                </c:pt>
                <c:pt idx="2" formatCode="General">
                  <c:v>4779</c:v>
                </c:pt>
              </c:numCache>
            </c:numRef>
          </c:val>
          <c:smooth val="0"/>
          <c:extLst>
            <c:ext xmlns:c16="http://schemas.microsoft.com/office/drawing/2014/chart" uri="{C3380CC4-5D6E-409C-BE32-E72D297353CC}">
              <c16:uniqueId val="{00000003-9EB5-4B46-96A5-1F3B0F1FE8FD}"/>
            </c:ext>
          </c:extLst>
        </c:ser>
        <c:ser>
          <c:idx val="2"/>
          <c:order val="3"/>
          <c:tx>
            <c:strRef>
              <c:f>'Mobility 2 - Traffic (void2)'!$E$21</c:f>
              <c:strCache>
                <c:ptCount val="1"/>
                <c:pt idx="0">
                  <c:v>Bus</c:v>
                </c:pt>
              </c:strCache>
            </c:strRef>
          </c:tx>
          <c:spPr>
            <a:ln w="15875" cap="rnd">
              <a:solidFill>
                <a:schemeClr val="accent4"/>
              </a:solidFill>
              <a:round/>
            </a:ln>
            <a:effectLst/>
          </c:spPr>
          <c:marker>
            <c:symbol val="circle"/>
            <c:size val="5"/>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marker>
          <c:cat>
            <c:strRef>
              <c:f>'Mobility 2 - Traffic (void2)'!$A$22:$A$25</c:f>
              <c:strCache>
                <c:ptCount val="4"/>
                <c:pt idx="0">
                  <c:v>Baseline</c:v>
                </c:pt>
                <c:pt idx="1">
                  <c:v>2018</c:v>
                </c:pt>
                <c:pt idx="2">
                  <c:v>2019</c:v>
                </c:pt>
                <c:pt idx="3">
                  <c:v>2020</c:v>
                </c:pt>
              </c:strCache>
            </c:strRef>
          </c:cat>
          <c:val>
            <c:numRef>
              <c:f>'Mobility 2 - Traffic (void2)'!$E$22:$E$25</c:f>
              <c:numCache>
                <c:formatCode>0</c:formatCode>
                <c:ptCount val="4"/>
                <c:pt idx="0" formatCode="General">
                  <c:v>613</c:v>
                </c:pt>
                <c:pt idx="1">
                  <c:v>637</c:v>
                </c:pt>
                <c:pt idx="2" formatCode="General">
                  <c:v>657</c:v>
                </c:pt>
              </c:numCache>
            </c:numRef>
          </c:val>
          <c:smooth val="0"/>
          <c:extLst>
            <c:ext xmlns:c16="http://schemas.microsoft.com/office/drawing/2014/chart" uri="{C3380CC4-5D6E-409C-BE32-E72D297353CC}">
              <c16:uniqueId val="{00000004-9EB5-4B46-96A5-1F3B0F1FE8FD}"/>
            </c:ext>
          </c:extLst>
        </c:ser>
        <c:ser>
          <c:idx val="3"/>
          <c:order val="4"/>
          <c:tx>
            <c:strRef>
              <c:f>'Mobility 2 - Traffic (void2)'!$F$21</c:f>
              <c:strCache>
                <c:ptCount val="1"/>
                <c:pt idx="0">
                  <c:v>Light Trck</c:v>
                </c:pt>
              </c:strCache>
            </c:strRef>
          </c:tx>
          <c:spPr>
            <a:ln w="15875" cap="rnd">
              <a:solidFill>
                <a:schemeClr val="accent6">
                  <a:lumMod val="60000"/>
                </a:schemeClr>
              </a:solidFill>
              <a:round/>
            </a:ln>
            <a:effectLst/>
          </c:spPr>
          <c:marker>
            <c:symbol val="circle"/>
            <c:size val="5"/>
            <c:spPr>
              <a:gradFill rotWithShape="1">
                <a:gsLst>
                  <a:gs pos="0">
                    <a:schemeClr val="accent6">
                      <a:lumMod val="60000"/>
                      <a:lumMod val="110000"/>
                      <a:satMod val="105000"/>
                      <a:tint val="67000"/>
                    </a:schemeClr>
                  </a:gs>
                  <a:gs pos="50000">
                    <a:schemeClr val="accent6">
                      <a:lumMod val="60000"/>
                      <a:lumMod val="105000"/>
                      <a:satMod val="103000"/>
                      <a:tint val="73000"/>
                    </a:schemeClr>
                  </a:gs>
                  <a:gs pos="100000">
                    <a:schemeClr val="accent6">
                      <a:lumMod val="60000"/>
                      <a:lumMod val="105000"/>
                      <a:satMod val="109000"/>
                      <a:tint val="81000"/>
                    </a:schemeClr>
                  </a:gs>
                </a:gsLst>
                <a:lin ang="5400000" scaled="0"/>
              </a:gradFill>
              <a:ln w="9525" cap="flat" cmpd="sng" algn="ctr">
                <a:solidFill>
                  <a:schemeClr val="accent6">
                    <a:lumMod val="60000"/>
                    <a:shade val="95000"/>
                  </a:schemeClr>
                </a:solidFill>
                <a:round/>
              </a:ln>
              <a:effectLst/>
            </c:spPr>
          </c:marker>
          <c:cat>
            <c:strRef>
              <c:f>'Mobility 2 - Traffic (void2)'!$A$22:$A$25</c:f>
              <c:strCache>
                <c:ptCount val="4"/>
                <c:pt idx="0">
                  <c:v>Baseline</c:v>
                </c:pt>
                <c:pt idx="1">
                  <c:v>2018</c:v>
                </c:pt>
                <c:pt idx="2">
                  <c:v>2019</c:v>
                </c:pt>
                <c:pt idx="3">
                  <c:v>2020</c:v>
                </c:pt>
              </c:strCache>
            </c:strRef>
          </c:cat>
          <c:val>
            <c:numRef>
              <c:f>'Mobility 2 - Traffic (void2)'!$F$22:$F$25</c:f>
              <c:numCache>
                <c:formatCode>0</c:formatCode>
                <c:ptCount val="4"/>
                <c:pt idx="0" formatCode="General">
                  <c:v>1553</c:v>
                </c:pt>
                <c:pt idx="1">
                  <c:v>1624</c:v>
                </c:pt>
                <c:pt idx="2" formatCode="General">
                  <c:v>1673</c:v>
                </c:pt>
              </c:numCache>
            </c:numRef>
          </c:val>
          <c:smooth val="0"/>
          <c:extLst>
            <c:ext xmlns:c16="http://schemas.microsoft.com/office/drawing/2014/chart" uri="{C3380CC4-5D6E-409C-BE32-E72D297353CC}">
              <c16:uniqueId val="{00000005-9EB5-4B46-96A5-1F3B0F1FE8FD}"/>
            </c:ext>
          </c:extLst>
        </c:ser>
        <c:ser>
          <c:idx val="4"/>
          <c:order val="5"/>
          <c:tx>
            <c:strRef>
              <c:f>'Mobility 2 - Traffic (void2)'!$G$21</c:f>
              <c:strCache>
                <c:ptCount val="1"/>
                <c:pt idx="0">
                  <c:v>Heavy Trck</c:v>
                </c:pt>
              </c:strCache>
            </c:strRef>
          </c:tx>
          <c:spPr>
            <a:ln w="15875" cap="rnd">
              <a:solidFill>
                <a:schemeClr val="accent5">
                  <a:lumMod val="60000"/>
                </a:schemeClr>
              </a:solidFill>
              <a:round/>
            </a:ln>
            <a:effectLst/>
          </c:spPr>
          <c:marker>
            <c:symbol val="circle"/>
            <c:size val="5"/>
            <c:spPr>
              <a:gradFill rotWithShape="1">
                <a:gsLst>
                  <a:gs pos="0">
                    <a:schemeClr val="accent5">
                      <a:lumMod val="60000"/>
                      <a:lumMod val="110000"/>
                      <a:satMod val="105000"/>
                      <a:tint val="67000"/>
                    </a:schemeClr>
                  </a:gs>
                  <a:gs pos="50000">
                    <a:schemeClr val="accent5">
                      <a:lumMod val="60000"/>
                      <a:lumMod val="105000"/>
                      <a:satMod val="103000"/>
                      <a:tint val="73000"/>
                    </a:schemeClr>
                  </a:gs>
                  <a:gs pos="100000">
                    <a:schemeClr val="accent5">
                      <a:lumMod val="60000"/>
                      <a:lumMod val="105000"/>
                      <a:satMod val="109000"/>
                      <a:tint val="81000"/>
                    </a:schemeClr>
                  </a:gs>
                </a:gsLst>
                <a:lin ang="5400000" scaled="0"/>
              </a:gradFill>
              <a:ln w="9525" cap="flat" cmpd="sng" algn="ctr">
                <a:solidFill>
                  <a:schemeClr val="accent5">
                    <a:lumMod val="60000"/>
                    <a:shade val="95000"/>
                  </a:schemeClr>
                </a:solidFill>
                <a:round/>
              </a:ln>
              <a:effectLst/>
            </c:spPr>
          </c:marker>
          <c:cat>
            <c:strRef>
              <c:f>'Mobility 2 - Traffic (void2)'!$A$22:$A$25</c:f>
              <c:strCache>
                <c:ptCount val="4"/>
                <c:pt idx="0">
                  <c:v>Baseline</c:v>
                </c:pt>
                <c:pt idx="1">
                  <c:v>2018</c:v>
                </c:pt>
                <c:pt idx="2">
                  <c:v>2019</c:v>
                </c:pt>
                <c:pt idx="3">
                  <c:v>2020</c:v>
                </c:pt>
              </c:strCache>
            </c:strRef>
          </c:cat>
          <c:val>
            <c:numRef>
              <c:f>'Mobility 2 - Traffic (void2)'!$G$22:$G$25</c:f>
              <c:numCache>
                <c:formatCode>0</c:formatCode>
                <c:ptCount val="4"/>
                <c:pt idx="0" formatCode="General">
                  <c:v>1513</c:v>
                </c:pt>
                <c:pt idx="1">
                  <c:v>1567</c:v>
                </c:pt>
                <c:pt idx="2" formatCode="General">
                  <c:v>1613</c:v>
                </c:pt>
              </c:numCache>
            </c:numRef>
          </c:val>
          <c:smooth val="0"/>
          <c:extLst>
            <c:ext xmlns:c16="http://schemas.microsoft.com/office/drawing/2014/chart" uri="{C3380CC4-5D6E-409C-BE32-E72D297353CC}">
              <c16:uniqueId val="{00000006-9EB5-4B46-96A5-1F3B0F1FE8FD}"/>
            </c:ext>
          </c:extLst>
        </c:ser>
        <c:dLbls>
          <c:showLegendKey val="0"/>
          <c:showVal val="0"/>
          <c:showCatName val="0"/>
          <c:showSerName val="0"/>
          <c:showPercent val="0"/>
          <c:showBubbleSize val="0"/>
        </c:dLbls>
        <c:marker val="1"/>
        <c:smooth val="0"/>
        <c:axId val="1766294863"/>
        <c:axId val="1666323551"/>
      </c:lineChart>
      <c:valAx>
        <c:axId val="1666309823"/>
        <c:scaling>
          <c:orientation val="minMax"/>
        </c:scaling>
        <c:delete val="0"/>
        <c:axPos val="r"/>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en-MY" sz="1000" b="0" i="0" cap="all" baseline="0">
                    <a:effectLst/>
                  </a:rPr>
                  <a:t>Traffic Count</a:t>
                </a:r>
                <a:endParaRPr lang="en-MY" sz="300">
                  <a:effectLst/>
                </a:endParaRP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920810223"/>
        <c:crosses val="max"/>
        <c:crossBetween val="between"/>
      </c:valAx>
      <c:catAx>
        <c:axId val="19208102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666309823"/>
        <c:crosses val="autoZero"/>
        <c:auto val="1"/>
        <c:lblAlgn val="ctr"/>
        <c:lblOffset val="100"/>
        <c:noMultiLvlLbl val="0"/>
      </c:catAx>
      <c:valAx>
        <c:axId val="1666323551"/>
        <c:scaling>
          <c:orientation val="minMax"/>
        </c:scaling>
        <c:delete val="0"/>
        <c:axPos val="l"/>
        <c:title>
          <c:tx>
            <c:rich>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en-MY"/>
                  <a:t>Annual GHG</a:t>
                </a:r>
                <a:r>
                  <a:rPr lang="en-MY" baseline="0"/>
                  <a:t> EMission (tco2e)</a:t>
                </a:r>
                <a:endParaRPr lang="en-MY"/>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766294863"/>
        <c:crosses val="autoZero"/>
        <c:crossBetween val="between"/>
      </c:valAx>
      <c:catAx>
        <c:axId val="1766294863"/>
        <c:scaling>
          <c:orientation val="minMax"/>
        </c:scaling>
        <c:delete val="1"/>
        <c:axPos val="b"/>
        <c:numFmt formatCode="General" sourceLinked="1"/>
        <c:majorTickMark val="none"/>
        <c:minorTickMark val="none"/>
        <c:tickLblPos val="nextTo"/>
        <c:crossAx val="1666323551"/>
        <c:crosses val="autoZero"/>
        <c:auto val="1"/>
        <c:lblAlgn val="ctr"/>
        <c:lblOffset val="100"/>
        <c:noMultiLvlLbl val="0"/>
      </c:catAx>
      <c:spPr>
        <a:noFill/>
        <a:ln>
          <a:noFill/>
        </a:ln>
        <a:effectLst/>
      </c:spPr>
    </c:plotArea>
    <c:legend>
      <c:legendPos val="b"/>
      <c:layout>
        <c:manualLayout>
          <c:xMode val="edge"/>
          <c:yMode val="edge"/>
          <c:x val="9.8014055808813366E-2"/>
          <c:y val="0.67818254574096193"/>
          <c:w val="0.8631824146981627"/>
          <c:h val="0.2949995090415540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7"/>
          <c:order val="0"/>
          <c:tx>
            <c:v>Energy</c:v>
          </c:tx>
          <c:spPr>
            <a:solidFill>
              <a:schemeClr val="accent2">
                <a:lumMod val="60000"/>
              </a:schemeClr>
            </a:solidFill>
            <a:ln>
              <a:noFill/>
            </a:ln>
            <a:effectLst/>
          </c:spPr>
          <c:cat>
            <c:numRef>
              <c:f>'Summary (old)'!$D$20:$Q$20</c:f>
              <c:numCache>
                <c:formatCode>General</c:formatCode>
                <c:ptCount val="14"/>
                <c:pt idx="0">
                  <c:v>2015</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numCache>
            </c:numRef>
          </c:cat>
          <c:val>
            <c:numRef>
              <c:f>'Summary (old)'!$D$22:$Q$22</c:f>
              <c:numCache>
                <c:formatCode>_(* #,##0.00_);_(* \(#,##0.00\);_(* "-"??_);_(@_)</c:formatCode>
                <c:ptCount val="14"/>
                <c:pt idx="0">
                  <c:v>1839.05836</c:v>
                </c:pt>
                <c:pt idx="1">
                  <c:v>2079.2661604999998</c:v>
                </c:pt>
                <c:pt idx="2">
                  <c:v>1999.437596</c:v>
                </c:pt>
                <c:pt idx="3">
                  <c:v>0</c:v>
                </c:pt>
              </c:numCache>
            </c:numRef>
          </c:val>
          <c:extLst>
            <c:ext xmlns:c16="http://schemas.microsoft.com/office/drawing/2014/chart" uri="{C3380CC4-5D6E-409C-BE32-E72D297353CC}">
              <c16:uniqueId val="{00000000-D292-43F7-916B-F438AB817C7C}"/>
            </c:ext>
          </c:extLst>
        </c:ser>
        <c:ser>
          <c:idx val="0"/>
          <c:order val="1"/>
          <c:tx>
            <c:v>Water</c:v>
          </c:tx>
          <c:spPr>
            <a:solidFill>
              <a:schemeClr val="accent1"/>
            </a:solidFill>
            <a:ln>
              <a:noFill/>
            </a:ln>
            <a:effectLst/>
          </c:spPr>
          <c:cat>
            <c:numRef>
              <c:f>'Summary (old)'!$D$20:$Q$20</c:f>
              <c:numCache>
                <c:formatCode>General</c:formatCode>
                <c:ptCount val="14"/>
                <c:pt idx="0">
                  <c:v>2015</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numCache>
            </c:numRef>
          </c:cat>
          <c:val>
            <c:numRef>
              <c:f>'Summary (old)'!$D$23:$Q$23</c:f>
              <c:numCache>
                <c:formatCode>_(* #,##0.00_);_(* \(#,##0.00\);_(* "-"??_);_(@_)</c:formatCode>
                <c:ptCount val="14"/>
                <c:pt idx="0">
                  <c:v>69.823836</c:v>
                </c:pt>
                <c:pt idx="1">
                  <c:v>133.85541599999999</c:v>
                </c:pt>
                <c:pt idx="2">
                  <c:v>192.98260099999999</c:v>
                </c:pt>
                <c:pt idx="3">
                  <c:v>0</c:v>
                </c:pt>
              </c:numCache>
            </c:numRef>
          </c:val>
          <c:extLst>
            <c:ext xmlns:c16="http://schemas.microsoft.com/office/drawing/2014/chart" uri="{C3380CC4-5D6E-409C-BE32-E72D297353CC}">
              <c16:uniqueId val="{00000001-D292-43F7-916B-F438AB817C7C}"/>
            </c:ext>
          </c:extLst>
        </c:ser>
        <c:ser>
          <c:idx val="1"/>
          <c:order val="2"/>
          <c:tx>
            <c:v>Waste 2</c:v>
          </c:tx>
          <c:spPr>
            <a:solidFill>
              <a:schemeClr val="accent2"/>
            </a:solidFill>
            <a:ln>
              <a:noFill/>
            </a:ln>
            <a:effectLst/>
          </c:spPr>
          <c:cat>
            <c:numRef>
              <c:f>'Summary (old)'!$D$20:$Q$20</c:f>
              <c:numCache>
                <c:formatCode>General</c:formatCode>
                <c:ptCount val="14"/>
                <c:pt idx="0">
                  <c:v>2015</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numCache>
            </c:numRef>
          </c:cat>
          <c:val>
            <c:numRef>
              <c:f>'Summary (old)'!$D$25:$Q$25</c:f>
              <c:numCache>
                <c:formatCode>_(* #,##0.00_);_(* \(#,##0.00\);_(* "-"??_);_(@_)</c:formatCode>
                <c:ptCount val="14"/>
              </c:numCache>
            </c:numRef>
          </c:val>
          <c:extLst>
            <c:ext xmlns:c16="http://schemas.microsoft.com/office/drawing/2014/chart" uri="{C3380CC4-5D6E-409C-BE32-E72D297353CC}">
              <c16:uniqueId val="{00000002-D292-43F7-916B-F438AB817C7C}"/>
            </c:ext>
          </c:extLst>
        </c:ser>
        <c:ser>
          <c:idx val="2"/>
          <c:order val="3"/>
          <c:tx>
            <c:v>Mobility</c:v>
          </c:tx>
          <c:spPr>
            <a:solidFill>
              <a:schemeClr val="accent3"/>
            </a:solidFill>
            <a:ln>
              <a:noFill/>
            </a:ln>
            <a:effectLst/>
          </c:spPr>
          <c:cat>
            <c:numRef>
              <c:f>'Summary (old)'!$D$20:$Q$20</c:f>
              <c:numCache>
                <c:formatCode>General</c:formatCode>
                <c:ptCount val="14"/>
                <c:pt idx="0">
                  <c:v>2015</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numCache>
            </c:numRef>
          </c:cat>
          <c:val>
            <c:numRef>
              <c:f>'Summary (old)'!$D$26:$Q$26</c:f>
              <c:numCache>
                <c:formatCode>_(* #,##0.00_);_(* \(#,##0.00\);_(* "-"??_);_(@_)</c:formatCode>
                <c:ptCount val="14"/>
              </c:numCache>
            </c:numRef>
          </c:val>
          <c:extLst>
            <c:ext xmlns:c16="http://schemas.microsoft.com/office/drawing/2014/chart" uri="{C3380CC4-5D6E-409C-BE32-E72D297353CC}">
              <c16:uniqueId val="{00000003-D292-43F7-916B-F438AB817C7C}"/>
            </c:ext>
          </c:extLst>
        </c:ser>
        <c:ser>
          <c:idx val="3"/>
          <c:order val="4"/>
          <c:tx>
            <c:v>Greenery</c:v>
          </c:tx>
          <c:spPr>
            <a:solidFill>
              <a:schemeClr val="accent4"/>
            </a:solidFill>
            <a:ln>
              <a:noFill/>
            </a:ln>
            <a:effectLst/>
          </c:spPr>
          <c:cat>
            <c:numRef>
              <c:f>'Summary (old)'!$D$20:$Q$20</c:f>
              <c:numCache>
                <c:formatCode>General</c:formatCode>
                <c:ptCount val="14"/>
                <c:pt idx="0">
                  <c:v>2015</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numCache>
            </c:numRef>
          </c:cat>
          <c:val>
            <c:numRef>
              <c:f>'Summary (old)'!$D$29:$Q$29</c:f>
              <c:numCache>
                <c:formatCode>_(* #,##0.00_);_(* \(#,##0.00\);_(* "-"??_);_(@_)</c:formatCode>
                <c:ptCount val="14"/>
              </c:numCache>
            </c:numRef>
          </c:val>
          <c:extLst>
            <c:ext xmlns:c16="http://schemas.microsoft.com/office/drawing/2014/chart" uri="{C3380CC4-5D6E-409C-BE32-E72D297353CC}">
              <c16:uniqueId val="{00000004-D292-43F7-916B-F438AB817C7C}"/>
            </c:ext>
          </c:extLst>
        </c:ser>
        <c:dLbls>
          <c:showLegendKey val="0"/>
          <c:showVal val="0"/>
          <c:showCatName val="0"/>
          <c:showSerName val="0"/>
          <c:showPercent val="0"/>
          <c:showBubbleSize val="0"/>
        </c:dLbls>
        <c:axId val="306049288"/>
        <c:axId val="306057488"/>
      </c:areaChart>
      <c:lineChart>
        <c:grouping val="standard"/>
        <c:varyColors val="0"/>
        <c:ser>
          <c:idx val="4"/>
          <c:order val="5"/>
          <c:tx>
            <c:v>Total Emissions</c:v>
          </c:tx>
          <c:spPr>
            <a:ln w="57150" cap="rnd">
              <a:solidFill>
                <a:srgbClr val="92D050"/>
              </a:solidFill>
              <a:round/>
            </a:ln>
            <a:effectLst/>
          </c:spPr>
          <c:marker>
            <c:symbol val="circle"/>
            <c:size val="5"/>
            <c:spPr>
              <a:solidFill>
                <a:srgbClr val="92D050"/>
              </a:solidFill>
              <a:ln w="57150">
                <a:solidFill>
                  <a:srgbClr val="92D050"/>
                </a:solidFill>
              </a:ln>
              <a:effectLst/>
            </c:spPr>
          </c:marker>
          <c:val>
            <c:numRef>
              <c:f>'Summary (old)'!$D$27:$Q$27</c:f>
              <c:numCache>
                <c:formatCode>_(* #,##0.00_);_(* \(#,##0.00\);_(* "-"??_);_(@_)</c:formatCode>
                <c:ptCount val="14"/>
                <c:pt idx="0">
                  <c:v>2721.8145777999998</c:v>
                </c:pt>
                <c:pt idx="1">
                  <c:v>3322.8387960999999</c:v>
                </c:pt>
                <c:pt idx="2">
                  <c:v>3323.2525433999999</c:v>
                </c:pt>
                <c:pt idx="3">
                  <c:v>0</c:v>
                </c:pt>
                <c:pt idx="4">
                  <c:v>0</c:v>
                </c:pt>
                <c:pt idx="5">
                  <c:v>0</c:v>
                </c:pt>
                <c:pt idx="6">
                  <c:v>0</c:v>
                </c:pt>
                <c:pt idx="7">
                  <c:v>0</c:v>
                </c:pt>
                <c:pt idx="8">
                  <c:v>0</c:v>
                </c:pt>
                <c:pt idx="9">
                  <c:v>0</c:v>
                </c:pt>
                <c:pt idx="10">
                  <c:v>0</c:v>
                </c:pt>
                <c:pt idx="11">
                  <c:v>0</c:v>
                </c:pt>
                <c:pt idx="12">
                  <c:v>0</c:v>
                </c:pt>
                <c:pt idx="13">
                  <c:v>0</c:v>
                </c:pt>
              </c:numCache>
            </c:numRef>
          </c:val>
          <c:smooth val="0"/>
          <c:extLst>
            <c:ext xmlns:c16="http://schemas.microsoft.com/office/drawing/2014/chart" uri="{C3380CC4-5D6E-409C-BE32-E72D297353CC}">
              <c16:uniqueId val="{00000005-D292-43F7-916B-F438AB817C7C}"/>
            </c:ext>
          </c:extLst>
        </c:ser>
        <c:ser>
          <c:idx val="5"/>
          <c:order val="6"/>
          <c:tx>
            <c:v>BAU</c:v>
          </c:tx>
          <c:spPr>
            <a:ln w="28575" cap="rnd">
              <a:solidFill>
                <a:srgbClr val="FF0000"/>
              </a:solidFill>
              <a:round/>
            </a:ln>
            <a:effectLst/>
          </c:spPr>
          <c:marker>
            <c:symbol val="circle"/>
            <c:size val="5"/>
            <c:spPr>
              <a:solidFill>
                <a:srgbClr val="FF0000"/>
              </a:solidFill>
              <a:ln w="9525">
                <a:solidFill>
                  <a:srgbClr val="FF0000"/>
                </a:solidFill>
              </a:ln>
              <a:effectLst/>
            </c:spPr>
          </c:marker>
          <c:val>
            <c:numRef>
              <c:f>'Summary (old)'!$D$21:$Q$21</c:f>
              <c:numCache>
                <c:formatCode>_(* #,##0.00_);_(* \(#,##0.00\);_(* "-"??_);_(@_)</c:formatCode>
                <c:ptCount val="14"/>
                <c:pt idx="0">
                  <c:v>2721.8145777999998</c:v>
                </c:pt>
                <c:pt idx="1">
                  <c:v>2721.8145777999998</c:v>
                </c:pt>
                <c:pt idx="2">
                  <c:v>2721.8145777999998</c:v>
                </c:pt>
                <c:pt idx="3">
                  <c:v>2721.8145777999998</c:v>
                </c:pt>
                <c:pt idx="4">
                  <c:v>2721.8145777999998</c:v>
                </c:pt>
                <c:pt idx="5">
                  <c:v>2721.8145777999998</c:v>
                </c:pt>
                <c:pt idx="6">
                  <c:v>2721.8145777999998</c:v>
                </c:pt>
                <c:pt idx="7">
                  <c:v>2721.8145777999998</c:v>
                </c:pt>
                <c:pt idx="8">
                  <c:v>2721.8145777999998</c:v>
                </c:pt>
                <c:pt idx="9">
                  <c:v>2721.8145777999998</c:v>
                </c:pt>
                <c:pt idx="10">
                  <c:v>2721.8145777999998</c:v>
                </c:pt>
                <c:pt idx="11">
                  <c:v>2721.8145777999998</c:v>
                </c:pt>
                <c:pt idx="12">
                  <c:v>2721.8145777999998</c:v>
                </c:pt>
                <c:pt idx="13">
                  <c:v>2721.8145777999998</c:v>
                </c:pt>
              </c:numCache>
            </c:numRef>
          </c:val>
          <c:smooth val="0"/>
          <c:extLst>
            <c:ext xmlns:c16="http://schemas.microsoft.com/office/drawing/2014/chart" uri="{C3380CC4-5D6E-409C-BE32-E72D297353CC}">
              <c16:uniqueId val="{00000006-D292-43F7-916B-F438AB817C7C}"/>
            </c:ext>
          </c:extLst>
        </c:ser>
        <c:dLbls>
          <c:showLegendKey val="0"/>
          <c:showVal val="0"/>
          <c:showCatName val="0"/>
          <c:showSerName val="0"/>
          <c:showPercent val="0"/>
          <c:showBubbleSize val="0"/>
        </c:dLbls>
        <c:marker val="1"/>
        <c:smooth val="0"/>
        <c:axId val="306049288"/>
        <c:axId val="306057488"/>
      </c:lineChart>
      <c:catAx>
        <c:axId val="306049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6057488"/>
        <c:crosses val="autoZero"/>
        <c:auto val="1"/>
        <c:lblAlgn val="ctr"/>
        <c:lblOffset val="100"/>
        <c:noMultiLvlLbl val="0"/>
      </c:catAx>
      <c:valAx>
        <c:axId val="306057488"/>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6049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7"/>
          <c:order val="0"/>
          <c:tx>
            <c:v>Energy</c:v>
          </c:tx>
          <c:spPr>
            <a:solidFill>
              <a:schemeClr val="accent2">
                <a:lumMod val="60000"/>
              </a:schemeClr>
            </a:solidFill>
            <a:ln>
              <a:noFill/>
            </a:ln>
            <a:effectLst/>
          </c:spPr>
          <c:invertIfNegative val="0"/>
          <c:cat>
            <c:numRef>
              <c:f>'Summary (old)'!$D$20:$Q$20</c:f>
              <c:numCache>
                <c:formatCode>General</c:formatCode>
                <c:ptCount val="14"/>
                <c:pt idx="0">
                  <c:v>2015</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numCache>
            </c:numRef>
          </c:cat>
          <c:val>
            <c:numRef>
              <c:f>'BAU (Same Year)'!$D$23:$Q$23</c:f>
              <c:numCache>
                <c:formatCode>_(* #,##0.00_);_(* \(#,##0.00\);_(* "-"??_);_(@_)</c:formatCode>
                <c:ptCount val="14"/>
                <c:pt idx="0">
                  <c:v>923</c:v>
                </c:pt>
                <c:pt idx="1">
                  <c:v>920</c:v>
                </c:pt>
                <c:pt idx="2">
                  <c:v>917</c:v>
                </c:pt>
                <c:pt idx="3">
                  <c:v>914</c:v>
                </c:pt>
                <c:pt idx="4">
                  <c:v>911</c:v>
                </c:pt>
                <c:pt idx="5">
                  <c:v>908</c:v>
                </c:pt>
                <c:pt idx="6">
                  <c:v>905</c:v>
                </c:pt>
                <c:pt idx="7">
                  <c:v>902</c:v>
                </c:pt>
                <c:pt idx="8">
                  <c:v>899</c:v>
                </c:pt>
                <c:pt idx="9">
                  <c:v>896</c:v>
                </c:pt>
                <c:pt idx="10">
                  <c:v>893</c:v>
                </c:pt>
                <c:pt idx="11">
                  <c:v>890</c:v>
                </c:pt>
                <c:pt idx="12">
                  <c:v>887</c:v>
                </c:pt>
                <c:pt idx="13">
                  <c:v>884</c:v>
                </c:pt>
              </c:numCache>
            </c:numRef>
          </c:val>
          <c:extLst>
            <c:ext xmlns:c16="http://schemas.microsoft.com/office/drawing/2014/chart" uri="{C3380CC4-5D6E-409C-BE32-E72D297353CC}">
              <c16:uniqueId val="{00000000-0442-43EC-8ADA-EB80E32E2565}"/>
            </c:ext>
          </c:extLst>
        </c:ser>
        <c:ser>
          <c:idx val="0"/>
          <c:order val="1"/>
          <c:tx>
            <c:v>Water</c:v>
          </c:tx>
          <c:spPr>
            <a:solidFill>
              <a:schemeClr val="accent1"/>
            </a:solidFill>
            <a:ln>
              <a:noFill/>
            </a:ln>
            <a:effectLst/>
          </c:spPr>
          <c:invertIfNegative val="0"/>
          <c:cat>
            <c:numRef>
              <c:f>'Summary (old)'!$D$20:$Q$20</c:f>
              <c:numCache>
                <c:formatCode>General</c:formatCode>
                <c:ptCount val="14"/>
                <c:pt idx="0">
                  <c:v>2015</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numCache>
            </c:numRef>
          </c:cat>
          <c:val>
            <c:numRef>
              <c:f>'BAU (Same Year)'!$D$24:$Q$24</c:f>
              <c:numCache>
                <c:formatCode>_(* #,##0.00_);_(* \(#,##0.00\);_(* "-"??_);_(@_)</c:formatCode>
                <c:ptCount val="14"/>
                <c:pt idx="0">
                  <c:v>50</c:v>
                </c:pt>
                <c:pt idx="1">
                  <c:v>55</c:v>
                </c:pt>
                <c:pt idx="2">
                  <c:v>60</c:v>
                </c:pt>
                <c:pt idx="3">
                  <c:v>65</c:v>
                </c:pt>
                <c:pt idx="4">
                  <c:v>70</c:v>
                </c:pt>
                <c:pt idx="5">
                  <c:v>75</c:v>
                </c:pt>
                <c:pt idx="6">
                  <c:v>80</c:v>
                </c:pt>
                <c:pt idx="7">
                  <c:v>85</c:v>
                </c:pt>
                <c:pt idx="8">
                  <c:v>90</c:v>
                </c:pt>
                <c:pt idx="9">
                  <c:v>95</c:v>
                </c:pt>
                <c:pt idx="10">
                  <c:v>100</c:v>
                </c:pt>
                <c:pt idx="11">
                  <c:v>105</c:v>
                </c:pt>
                <c:pt idx="12">
                  <c:v>110</c:v>
                </c:pt>
                <c:pt idx="13">
                  <c:v>115</c:v>
                </c:pt>
              </c:numCache>
            </c:numRef>
          </c:val>
          <c:extLst>
            <c:ext xmlns:c16="http://schemas.microsoft.com/office/drawing/2014/chart" uri="{C3380CC4-5D6E-409C-BE32-E72D297353CC}">
              <c16:uniqueId val="{00000001-0442-43EC-8ADA-EB80E32E2565}"/>
            </c:ext>
          </c:extLst>
        </c:ser>
        <c:ser>
          <c:idx val="1"/>
          <c:order val="2"/>
          <c:tx>
            <c:v>Waste 2</c:v>
          </c:tx>
          <c:spPr>
            <a:solidFill>
              <a:schemeClr val="accent2"/>
            </a:solidFill>
            <a:ln>
              <a:noFill/>
            </a:ln>
            <a:effectLst/>
          </c:spPr>
          <c:invertIfNegative val="0"/>
          <c:cat>
            <c:numRef>
              <c:f>'Summary (old)'!$D$20:$Q$20</c:f>
              <c:numCache>
                <c:formatCode>General</c:formatCode>
                <c:ptCount val="14"/>
                <c:pt idx="0">
                  <c:v>2015</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numCache>
            </c:numRef>
          </c:cat>
          <c:val>
            <c:numRef>
              <c:f>'BAU (Same Year)'!$D$26:$Q$26</c:f>
              <c:numCache>
                <c:formatCode>_(* #,##0.00_);_(* \(#,##0.00\);_(* "-"??_);_(@_)</c:formatCode>
                <c:ptCount val="14"/>
                <c:pt idx="0">
                  <c:v>50</c:v>
                </c:pt>
                <c:pt idx="1">
                  <c:v>48</c:v>
                </c:pt>
                <c:pt idx="2">
                  <c:v>47</c:v>
                </c:pt>
                <c:pt idx="3">
                  <c:v>44</c:v>
                </c:pt>
                <c:pt idx="4">
                  <c:v>43</c:v>
                </c:pt>
                <c:pt idx="5">
                  <c:v>42</c:v>
                </c:pt>
                <c:pt idx="6">
                  <c:v>41</c:v>
                </c:pt>
                <c:pt idx="7">
                  <c:v>40</c:v>
                </c:pt>
                <c:pt idx="8">
                  <c:v>39</c:v>
                </c:pt>
                <c:pt idx="9">
                  <c:v>38</c:v>
                </c:pt>
                <c:pt idx="10">
                  <c:v>37</c:v>
                </c:pt>
                <c:pt idx="11">
                  <c:v>36</c:v>
                </c:pt>
                <c:pt idx="12">
                  <c:v>35</c:v>
                </c:pt>
                <c:pt idx="13">
                  <c:v>34</c:v>
                </c:pt>
              </c:numCache>
            </c:numRef>
          </c:val>
          <c:extLst>
            <c:ext xmlns:c16="http://schemas.microsoft.com/office/drawing/2014/chart" uri="{C3380CC4-5D6E-409C-BE32-E72D297353CC}">
              <c16:uniqueId val="{00000002-0442-43EC-8ADA-EB80E32E2565}"/>
            </c:ext>
          </c:extLst>
        </c:ser>
        <c:ser>
          <c:idx val="2"/>
          <c:order val="3"/>
          <c:tx>
            <c:v>Mobility</c:v>
          </c:tx>
          <c:spPr>
            <a:solidFill>
              <a:schemeClr val="accent3"/>
            </a:solidFill>
            <a:ln>
              <a:noFill/>
            </a:ln>
            <a:effectLst/>
          </c:spPr>
          <c:invertIfNegative val="0"/>
          <c:cat>
            <c:numRef>
              <c:f>'Summary (old)'!$D$20:$Q$20</c:f>
              <c:numCache>
                <c:formatCode>General</c:formatCode>
                <c:ptCount val="14"/>
                <c:pt idx="0">
                  <c:v>2015</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numCache>
            </c:numRef>
          </c:cat>
          <c:val>
            <c:numRef>
              <c:f>'BAU (Same Year)'!$D$28:$Q$28</c:f>
              <c:numCache>
                <c:formatCode>_(* #,##0.00_);_(* \(#,##0.00\);_(* "-"??_);_(@_)</c:formatCode>
                <c:ptCount val="14"/>
                <c:pt idx="0">
                  <c:v>350</c:v>
                </c:pt>
                <c:pt idx="1">
                  <c:v>345</c:v>
                </c:pt>
                <c:pt idx="2">
                  <c:v>340</c:v>
                </c:pt>
                <c:pt idx="3">
                  <c:v>330</c:v>
                </c:pt>
                <c:pt idx="4">
                  <c:v>320</c:v>
                </c:pt>
                <c:pt idx="5">
                  <c:v>500</c:v>
                </c:pt>
                <c:pt idx="6">
                  <c:v>500</c:v>
                </c:pt>
                <c:pt idx="7">
                  <c:v>305</c:v>
                </c:pt>
                <c:pt idx="8">
                  <c:v>300</c:v>
                </c:pt>
                <c:pt idx="9">
                  <c:v>295</c:v>
                </c:pt>
                <c:pt idx="10">
                  <c:v>290</c:v>
                </c:pt>
                <c:pt idx="11">
                  <c:v>285</c:v>
                </c:pt>
                <c:pt idx="12">
                  <c:v>280</c:v>
                </c:pt>
                <c:pt idx="13">
                  <c:v>275</c:v>
                </c:pt>
              </c:numCache>
            </c:numRef>
          </c:val>
          <c:extLst>
            <c:ext xmlns:c16="http://schemas.microsoft.com/office/drawing/2014/chart" uri="{C3380CC4-5D6E-409C-BE32-E72D297353CC}">
              <c16:uniqueId val="{00000003-0442-43EC-8ADA-EB80E32E2565}"/>
            </c:ext>
          </c:extLst>
        </c:ser>
        <c:ser>
          <c:idx val="3"/>
          <c:order val="4"/>
          <c:tx>
            <c:v>Greenery</c:v>
          </c:tx>
          <c:spPr>
            <a:solidFill>
              <a:schemeClr val="accent4"/>
            </a:solidFill>
            <a:ln>
              <a:noFill/>
            </a:ln>
            <a:effectLst/>
          </c:spPr>
          <c:invertIfNegative val="0"/>
          <c:cat>
            <c:numRef>
              <c:f>'Summary (old)'!$D$20:$Q$20</c:f>
              <c:numCache>
                <c:formatCode>General</c:formatCode>
                <c:ptCount val="14"/>
                <c:pt idx="0">
                  <c:v>2015</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numCache>
            </c:numRef>
          </c:cat>
          <c:val>
            <c:numRef>
              <c:f>'BAU (Same Year)'!$D$27:$Q$27</c:f>
              <c:numCache>
                <c:formatCode>_(* #,##0.00_);_(* \(#,##0.00\);_(* "-"??_);_(@_)</c:formatCode>
                <c:ptCount val="14"/>
                <c:pt idx="0">
                  <c:v>-344</c:v>
                </c:pt>
                <c:pt idx="1">
                  <c:v>-349</c:v>
                </c:pt>
                <c:pt idx="2">
                  <c:v>-354</c:v>
                </c:pt>
                <c:pt idx="3">
                  <c:v>-359</c:v>
                </c:pt>
                <c:pt idx="4">
                  <c:v>-364</c:v>
                </c:pt>
                <c:pt idx="5">
                  <c:v>-369</c:v>
                </c:pt>
                <c:pt idx="6">
                  <c:v>-374</c:v>
                </c:pt>
                <c:pt idx="7">
                  <c:v>-379</c:v>
                </c:pt>
                <c:pt idx="8">
                  <c:v>-384</c:v>
                </c:pt>
                <c:pt idx="9">
                  <c:v>-389</c:v>
                </c:pt>
                <c:pt idx="10">
                  <c:v>-394</c:v>
                </c:pt>
                <c:pt idx="11">
                  <c:v>-399</c:v>
                </c:pt>
                <c:pt idx="12">
                  <c:v>-404</c:v>
                </c:pt>
                <c:pt idx="13">
                  <c:v>-409</c:v>
                </c:pt>
              </c:numCache>
            </c:numRef>
          </c:val>
          <c:extLst>
            <c:ext xmlns:c16="http://schemas.microsoft.com/office/drawing/2014/chart" uri="{C3380CC4-5D6E-409C-BE32-E72D297353CC}">
              <c16:uniqueId val="{00000004-0442-43EC-8ADA-EB80E32E2565}"/>
            </c:ext>
          </c:extLst>
        </c:ser>
        <c:dLbls>
          <c:showLegendKey val="0"/>
          <c:showVal val="0"/>
          <c:showCatName val="0"/>
          <c:showSerName val="0"/>
          <c:showPercent val="0"/>
          <c:showBubbleSize val="0"/>
        </c:dLbls>
        <c:gapWidth val="219"/>
        <c:overlap val="100"/>
        <c:axId val="306049288"/>
        <c:axId val="306057488"/>
      </c:barChart>
      <c:lineChart>
        <c:grouping val="standard"/>
        <c:varyColors val="0"/>
        <c:ser>
          <c:idx val="4"/>
          <c:order val="5"/>
          <c:tx>
            <c:v>Total Emissions</c:v>
          </c:tx>
          <c:spPr>
            <a:ln w="28575" cap="rnd">
              <a:solidFill>
                <a:schemeClr val="accent5"/>
              </a:solidFill>
              <a:round/>
            </a:ln>
            <a:effectLst/>
          </c:spPr>
          <c:marker>
            <c:symbol val="none"/>
          </c:marker>
          <c:cat>
            <c:numRef>
              <c:f>'BAU (Same Year)'!$D$21:$Q$21</c:f>
              <c:numCache>
                <c:formatCode>General</c:formatCode>
                <c:ptCount val="14"/>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numCache>
            </c:numRef>
          </c:cat>
          <c:val>
            <c:numRef>
              <c:f>'BAU (Same Year)'!$D$29:$Q$29</c:f>
              <c:numCache>
                <c:formatCode>_(* #,##0.00_);_(* \(#,##0.00\);_(* "-"??_);_(@_)</c:formatCode>
                <c:ptCount val="14"/>
                <c:pt idx="0">
                  <c:v>1841.9323818</c:v>
                </c:pt>
                <c:pt idx="1">
                  <c:v>1019</c:v>
                </c:pt>
                <c:pt idx="2">
                  <c:v>1010</c:v>
                </c:pt>
                <c:pt idx="3">
                  <c:v>994</c:v>
                </c:pt>
                <c:pt idx="4">
                  <c:v>980</c:v>
                </c:pt>
                <c:pt idx="5">
                  <c:v>1156</c:v>
                </c:pt>
                <c:pt idx="6">
                  <c:v>1152</c:v>
                </c:pt>
                <c:pt idx="7">
                  <c:v>953</c:v>
                </c:pt>
                <c:pt idx="8">
                  <c:v>944</c:v>
                </c:pt>
                <c:pt idx="9">
                  <c:v>935</c:v>
                </c:pt>
                <c:pt idx="10">
                  <c:v>926</c:v>
                </c:pt>
                <c:pt idx="11">
                  <c:v>917</c:v>
                </c:pt>
                <c:pt idx="12">
                  <c:v>908</c:v>
                </c:pt>
                <c:pt idx="13">
                  <c:v>899</c:v>
                </c:pt>
              </c:numCache>
            </c:numRef>
          </c:val>
          <c:smooth val="0"/>
          <c:extLst>
            <c:ext xmlns:c16="http://schemas.microsoft.com/office/drawing/2014/chart" uri="{C3380CC4-5D6E-409C-BE32-E72D297353CC}">
              <c16:uniqueId val="{00000005-0442-43EC-8ADA-EB80E32E2565}"/>
            </c:ext>
          </c:extLst>
        </c:ser>
        <c:ser>
          <c:idx val="5"/>
          <c:order val="6"/>
          <c:tx>
            <c:v>BAU</c:v>
          </c:tx>
          <c:spPr>
            <a:ln w="28575" cap="rnd">
              <a:solidFill>
                <a:schemeClr val="accent6"/>
              </a:solidFill>
              <a:round/>
            </a:ln>
            <a:effectLst/>
          </c:spPr>
          <c:marker>
            <c:symbol val="none"/>
          </c:marker>
          <c:cat>
            <c:numRef>
              <c:f>'BAU (Same Year)'!$D$21:$Q$21</c:f>
              <c:numCache>
                <c:formatCode>General</c:formatCode>
                <c:ptCount val="14"/>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numCache>
            </c:numRef>
          </c:cat>
          <c:val>
            <c:numRef>
              <c:f>'BAU (Same Year)'!$D$22:$Q$22</c:f>
              <c:numCache>
                <c:formatCode>_(* #,##0.00_);_(* \(#,##0.00\);_(* "-"??_);_(@_)</c:formatCode>
                <c:ptCount val="14"/>
                <c:pt idx="0">
                  <c:v>1841.9323818</c:v>
                </c:pt>
                <c:pt idx="1">
                  <c:v>1936.3904526615386</c:v>
                </c:pt>
                <c:pt idx="2">
                  <c:v>2030.8485235230771</c:v>
                </c:pt>
                <c:pt idx="3">
                  <c:v>2125.3065943846154</c:v>
                </c:pt>
                <c:pt idx="4">
                  <c:v>2219.764665246154</c:v>
                </c:pt>
                <c:pt idx="5">
                  <c:v>2314.2227361076925</c:v>
                </c:pt>
                <c:pt idx="6">
                  <c:v>2408.6808069692306</c:v>
                </c:pt>
                <c:pt idx="7">
                  <c:v>2503.1388778307692</c:v>
                </c:pt>
                <c:pt idx="8">
                  <c:v>2597.5969486923077</c:v>
                </c:pt>
                <c:pt idx="9">
                  <c:v>2692.0550195538463</c:v>
                </c:pt>
                <c:pt idx="10">
                  <c:v>2786.5130904153848</c:v>
                </c:pt>
                <c:pt idx="11">
                  <c:v>2880.9711612769233</c:v>
                </c:pt>
                <c:pt idx="12">
                  <c:v>2975.4292321384614</c:v>
                </c:pt>
                <c:pt idx="13">
                  <c:v>3069.887303</c:v>
                </c:pt>
              </c:numCache>
            </c:numRef>
          </c:val>
          <c:smooth val="0"/>
          <c:extLst>
            <c:ext xmlns:c16="http://schemas.microsoft.com/office/drawing/2014/chart" uri="{C3380CC4-5D6E-409C-BE32-E72D297353CC}">
              <c16:uniqueId val="{00000006-0442-43EC-8ADA-EB80E32E2565}"/>
            </c:ext>
          </c:extLst>
        </c:ser>
        <c:dLbls>
          <c:showLegendKey val="0"/>
          <c:showVal val="0"/>
          <c:showCatName val="0"/>
          <c:showSerName val="0"/>
          <c:showPercent val="0"/>
          <c:showBubbleSize val="0"/>
        </c:dLbls>
        <c:marker val="1"/>
        <c:smooth val="0"/>
        <c:axId val="306049288"/>
        <c:axId val="306057488"/>
      </c:lineChart>
      <c:catAx>
        <c:axId val="306049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6057488"/>
        <c:crosses val="autoZero"/>
        <c:auto val="1"/>
        <c:lblAlgn val="ctr"/>
        <c:lblOffset val="100"/>
        <c:noMultiLvlLbl val="0"/>
      </c:catAx>
      <c:valAx>
        <c:axId val="306057488"/>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6049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7"/>
          <c:order val="0"/>
          <c:tx>
            <c:v>Energy</c:v>
          </c:tx>
          <c:spPr>
            <a:solidFill>
              <a:schemeClr val="accent2">
                <a:lumMod val="60000"/>
              </a:schemeClr>
            </a:solidFill>
            <a:ln>
              <a:noFill/>
            </a:ln>
            <a:effectLst/>
          </c:spPr>
          <c:invertIfNegative val="0"/>
          <c:cat>
            <c:numRef>
              <c:f>'Summary (old)'!$D$20:$Q$20</c:f>
              <c:numCache>
                <c:formatCode>General</c:formatCode>
                <c:ptCount val="14"/>
                <c:pt idx="0">
                  <c:v>2015</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numCache>
            </c:numRef>
          </c:cat>
          <c:val>
            <c:numRef>
              <c:f>'BAU (Same Year)'!$D$23:$Q$23</c:f>
              <c:numCache>
                <c:formatCode>_(* #,##0.00_);_(* \(#,##0.00\);_(* "-"??_);_(@_)</c:formatCode>
                <c:ptCount val="14"/>
                <c:pt idx="0">
                  <c:v>923</c:v>
                </c:pt>
                <c:pt idx="1">
                  <c:v>920</c:v>
                </c:pt>
                <c:pt idx="2">
                  <c:v>917</c:v>
                </c:pt>
                <c:pt idx="3">
                  <c:v>914</c:v>
                </c:pt>
                <c:pt idx="4">
                  <c:v>911</c:v>
                </c:pt>
                <c:pt idx="5">
                  <c:v>908</c:v>
                </c:pt>
                <c:pt idx="6">
                  <c:v>905</c:v>
                </c:pt>
                <c:pt idx="7">
                  <c:v>902</c:v>
                </c:pt>
                <c:pt idx="8">
                  <c:v>899</c:v>
                </c:pt>
                <c:pt idx="9">
                  <c:v>896</c:v>
                </c:pt>
                <c:pt idx="10">
                  <c:v>893</c:v>
                </c:pt>
                <c:pt idx="11">
                  <c:v>890</c:v>
                </c:pt>
                <c:pt idx="12">
                  <c:v>887</c:v>
                </c:pt>
                <c:pt idx="13">
                  <c:v>884</c:v>
                </c:pt>
              </c:numCache>
            </c:numRef>
          </c:val>
          <c:extLst>
            <c:ext xmlns:c16="http://schemas.microsoft.com/office/drawing/2014/chart" uri="{C3380CC4-5D6E-409C-BE32-E72D297353CC}">
              <c16:uniqueId val="{00000000-A869-402E-8D97-4EFFB643FD83}"/>
            </c:ext>
          </c:extLst>
        </c:ser>
        <c:ser>
          <c:idx val="0"/>
          <c:order val="1"/>
          <c:tx>
            <c:v>Water</c:v>
          </c:tx>
          <c:spPr>
            <a:solidFill>
              <a:schemeClr val="accent1"/>
            </a:solidFill>
            <a:ln>
              <a:noFill/>
            </a:ln>
            <a:effectLst/>
          </c:spPr>
          <c:invertIfNegative val="0"/>
          <c:cat>
            <c:numRef>
              <c:f>'Summary (old)'!$D$20:$Q$20</c:f>
              <c:numCache>
                <c:formatCode>General</c:formatCode>
                <c:ptCount val="14"/>
                <c:pt idx="0">
                  <c:v>2015</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numCache>
            </c:numRef>
          </c:cat>
          <c:val>
            <c:numRef>
              <c:f>'BAU (Same Year)'!$D$24:$Q$24</c:f>
              <c:numCache>
                <c:formatCode>_(* #,##0.00_);_(* \(#,##0.00\);_(* "-"??_);_(@_)</c:formatCode>
                <c:ptCount val="14"/>
                <c:pt idx="0">
                  <c:v>50</c:v>
                </c:pt>
                <c:pt idx="1">
                  <c:v>55</c:v>
                </c:pt>
                <c:pt idx="2">
                  <c:v>60</c:v>
                </c:pt>
                <c:pt idx="3">
                  <c:v>65</c:v>
                </c:pt>
                <c:pt idx="4">
                  <c:v>70</c:v>
                </c:pt>
                <c:pt idx="5">
                  <c:v>75</c:v>
                </c:pt>
                <c:pt idx="6">
                  <c:v>80</c:v>
                </c:pt>
                <c:pt idx="7">
                  <c:v>85</c:v>
                </c:pt>
                <c:pt idx="8">
                  <c:v>90</c:v>
                </c:pt>
                <c:pt idx="9">
                  <c:v>95</c:v>
                </c:pt>
                <c:pt idx="10">
                  <c:v>100</c:v>
                </c:pt>
                <c:pt idx="11">
                  <c:v>105</c:v>
                </c:pt>
                <c:pt idx="12">
                  <c:v>110</c:v>
                </c:pt>
                <c:pt idx="13">
                  <c:v>115</c:v>
                </c:pt>
              </c:numCache>
            </c:numRef>
          </c:val>
          <c:extLst>
            <c:ext xmlns:c16="http://schemas.microsoft.com/office/drawing/2014/chart" uri="{C3380CC4-5D6E-409C-BE32-E72D297353CC}">
              <c16:uniqueId val="{00000001-A869-402E-8D97-4EFFB643FD83}"/>
            </c:ext>
          </c:extLst>
        </c:ser>
        <c:ser>
          <c:idx val="1"/>
          <c:order val="2"/>
          <c:tx>
            <c:v>Waste 2</c:v>
          </c:tx>
          <c:spPr>
            <a:solidFill>
              <a:schemeClr val="accent2"/>
            </a:solidFill>
            <a:ln>
              <a:noFill/>
            </a:ln>
            <a:effectLst/>
          </c:spPr>
          <c:invertIfNegative val="0"/>
          <c:cat>
            <c:numRef>
              <c:f>'Summary (old)'!$D$20:$Q$20</c:f>
              <c:numCache>
                <c:formatCode>General</c:formatCode>
                <c:ptCount val="14"/>
                <c:pt idx="0">
                  <c:v>2015</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numCache>
            </c:numRef>
          </c:cat>
          <c:val>
            <c:numRef>
              <c:f>'BAU (Same Year)'!$D$26:$Q$26</c:f>
              <c:numCache>
                <c:formatCode>_(* #,##0.00_);_(* \(#,##0.00\);_(* "-"??_);_(@_)</c:formatCode>
                <c:ptCount val="14"/>
                <c:pt idx="0">
                  <c:v>50</c:v>
                </c:pt>
                <c:pt idx="1">
                  <c:v>48</c:v>
                </c:pt>
                <c:pt idx="2">
                  <c:v>47</c:v>
                </c:pt>
                <c:pt idx="3">
                  <c:v>44</c:v>
                </c:pt>
                <c:pt idx="4">
                  <c:v>43</c:v>
                </c:pt>
                <c:pt idx="5">
                  <c:v>42</c:v>
                </c:pt>
                <c:pt idx="6">
                  <c:v>41</c:v>
                </c:pt>
                <c:pt idx="7">
                  <c:v>40</c:v>
                </c:pt>
                <c:pt idx="8">
                  <c:v>39</c:v>
                </c:pt>
                <c:pt idx="9">
                  <c:v>38</c:v>
                </c:pt>
                <c:pt idx="10">
                  <c:v>37</c:v>
                </c:pt>
                <c:pt idx="11">
                  <c:v>36</c:v>
                </c:pt>
                <c:pt idx="12">
                  <c:v>35</c:v>
                </c:pt>
                <c:pt idx="13">
                  <c:v>34</c:v>
                </c:pt>
              </c:numCache>
            </c:numRef>
          </c:val>
          <c:extLst>
            <c:ext xmlns:c16="http://schemas.microsoft.com/office/drawing/2014/chart" uri="{C3380CC4-5D6E-409C-BE32-E72D297353CC}">
              <c16:uniqueId val="{00000002-A869-402E-8D97-4EFFB643FD83}"/>
            </c:ext>
          </c:extLst>
        </c:ser>
        <c:ser>
          <c:idx val="2"/>
          <c:order val="3"/>
          <c:tx>
            <c:v>Mobility</c:v>
          </c:tx>
          <c:spPr>
            <a:solidFill>
              <a:schemeClr val="accent3"/>
            </a:solidFill>
            <a:ln>
              <a:noFill/>
            </a:ln>
            <a:effectLst/>
          </c:spPr>
          <c:invertIfNegative val="0"/>
          <c:cat>
            <c:numRef>
              <c:f>'Summary (old)'!$D$20:$Q$20</c:f>
              <c:numCache>
                <c:formatCode>General</c:formatCode>
                <c:ptCount val="14"/>
                <c:pt idx="0">
                  <c:v>2015</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numCache>
            </c:numRef>
          </c:cat>
          <c:val>
            <c:numRef>
              <c:f>'BAU (Same Year)'!$D$28:$Q$28</c:f>
              <c:numCache>
                <c:formatCode>_(* #,##0.00_);_(* \(#,##0.00\);_(* "-"??_);_(@_)</c:formatCode>
                <c:ptCount val="14"/>
                <c:pt idx="0">
                  <c:v>350</c:v>
                </c:pt>
                <c:pt idx="1">
                  <c:v>345</c:v>
                </c:pt>
                <c:pt idx="2">
                  <c:v>340</c:v>
                </c:pt>
                <c:pt idx="3">
                  <c:v>330</c:v>
                </c:pt>
                <c:pt idx="4">
                  <c:v>320</c:v>
                </c:pt>
                <c:pt idx="5">
                  <c:v>500</c:v>
                </c:pt>
                <c:pt idx="6">
                  <c:v>500</c:v>
                </c:pt>
                <c:pt idx="7">
                  <c:v>305</c:v>
                </c:pt>
                <c:pt idx="8">
                  <c:v>300</c:v>
                </c:pt>
                <c:pt idx="9">
                  <c:v>295</c:v>
                </c:pt>
                <c:pt idx="10">
                  <c:v>290</c:v>
                </c:pt>
                <c:pt idx="11">
                  <c:v>285</c:v>
                </c:pt>
                <c:pt idx="12">
                  <c:v>280</c:v>
                </c:pt>
                <c:pt idx="13">
                  <c:v>275</c:v>
                </c:pt>
              </c:numCache>
            </c:numRef>
          </c:val>
          <c:extLst>
            <c:ext xmlns:c16="http://schemas.microsoft.com/office/drawing/2014/chart" uri="{C3380CC4-5D6E-409C-BE32-E72D297353CC}">
              <c16:uniqueId val="{00000003-A869-402E-8D97-4EFFB643FD83}"/>
            </c:ext>
          </c:extLst>
        </c:ser>
        <c:ser>
          <c:idx val="3"/>
          <c:order val="4"/>
          <c:tx>
            <c:v>Greenery</c:v>
          </c:tx>
          <c:spPr>
            <a:solidFill>
              <a:schemeClr val="accent4"/>
            </a:solidFill>
            <a:ln>
              <a:noFill/>
            </a:ln>
            <a:effectLst/>
          </c:spPr>
          <c:invertIfNegative val="0"/>
          <c:cat>
            <c:numRef>
              <c:f>'Summary (old)'!$D$20:$Q$20</c:f>
              <c:numCache>
                <c:formatCode>General</c:formatCode>
                <c:ptCount val="14"/>
                <c:pt idx="0">
                  <c:v>2015</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numCache>
            </c:numRef>
          </c:cat>
          <c:val>
            <c:numRef>
              <c:f>'BAU (Same Year)'!$D$27:$Q$27</c:f>
              <c:numCache>
                <c:formatCode>_(* #,##0.00_);_(* \(#,##0.00\);_(* "-"??_);_(@_)</c:formatCode>
                <c:ptCount val="14"/>
                <c:pt idx="0">
                  <c:v>-344</c:v>
                </c:pt>
                <c:pt idx="1">
                  <c:v>-349</c:v>
                </c:pt>
                <c:pt idx="2">
                  <c:v>-354</c:v>
                </c:pt>
                <c:pt idx="3">
                  <c:v>-359</c:v>
                </c:pt>
                <c:pt idx="4">
                  <c:v>-364</c:v>
                </c:pt>
                <c:pt idx="5">
                  <c:v>-369</c:v>
                </c:pt>
                <c:pt idx="6">
                  <c:v>-374</c:v>
                </c:pt>
                <c:pt idx="7">
                  <c:v>-379</c:v>
                </c:pt>
                <c:pt idx="8">
                  <c:v>-384</c:v>
                </c:pt>
                <c:pt idx="9">
                  <c:v>-389</c:v>
                </c:pt>
                <c:pt idx="10">
                  <c:v>-394</c:v>
                </c:pt>
                <c:pt idx="11">
                  <c:v>-399</c:v>
                </c:pt>
                <c:pt idx="12">
                  <c:v>-404</c:v>
                </c:pt>
                <c:pt idx="13">
                  <c:v>-409</c:v>
                </c:pt>
              </c:numCache>
            </c:numRef>
          </c:val>
          <c:extLst>
            <c:ext xmlns:c16="http://schemas.microsoft.com/office/drawing/2014/chart" uri="{C3380CC4-5D6E-409C-BE32-E72D297353CC}">
              <c16:uniqueId val="{00000004-A869-402E-8D97-4EFFB643FD83}"/>
            </c:ext>
          </c:extLst>
        </c:ser>
        <c:dLbls>
          <c:showLegendKey val="0"/>
          <c:showVal val="0"/>
          <c:showCatName val="0"/>
          <c:showSerName val="0"/>
          <c:showPercent val="0"/>
          <c:showBubbleSize val="0"/>
        </c:dLbls>
        <c:gapWidth val="219"/>
        <c:overlap val="100"/>
        <c:axId val="306049288"/>
        <c:axId val="306057488"/>
      </c:barChart>
      <c:lineChart>
        <c:grouping val="standard"/>
        <c:varyColors val="0"/>
        <c:ser>
          <c:idx val="4"/>
          <c:order val="5"/>
          <c:tx>
            <c:v>Total Emissions</c:v>
          </c:tx>
          <c:spPr>
            <a:ln w="28575" cap="rnd">
              <a:solidFill>
                <a:schemeClr val="accent5"/>
              </a:solidFill>
              <a:round/>
            </a:ln>
            <a:effectLst/>
          </c:spPr>
          <c:marker>
            <c:symbol val="none"/>
          </c:marker>
          <c:cat>
            <c:numRef>
              <c:f>'BAU (Same Year)'!$D$21:$Q$21</c:f>
              <c:numCache>
                <c:formatCode>General</c:formatCode>
                <c:ptCount val="14"/>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numCache>
            </c:numRef>
          </c:cat>
          <c:val>
            <c:numRef>
              <c:f>'BAU (Same Year)'!$D$29:$Q$29</c:f>
              <c:numCache>
                <c:formatCode>_(* #,##0.00_);_(* \(#,##0.00\);_(* "-"??_);_(@_)</c:formatCode>
                <c:ptCount val="14"/>
                <c:pt idx="0">
                  <c:v>1841.9323818</c:v>
                </c:pt>
                <c:pt idx="1">
                  <c:v>1019</c:v>
                </c:pt>
                <c:pt idx="2">
                  <c:v>1010</c:v>
                </c:pt>
                <c:pt idx="3">
                  <c:v>994</c:v>
                </c:pt>
                <c:pt idx="4">
                  <c:v>980</c:v>
                </c:pt>
                <c:pt idx="5">
                  <c:v>1156</c:v>
                </c:pt>
                <c:pt idx="6">
                  <c:v>1152</c:v>
                </c:pt>
                <c:pt idx="7">
                  <c:v>953</c:v>
                </c:pt>
                <c:pt idx="8">
                  <c:v>944</c:v>
                </c:pt>
                <c:pt idx="9">
                  <c:v>935</c:v>
                </c:pt>
                <c:pt idx="10">
                  <c:v>926</c:v>
                </c:pt>
                <c:pt idx="11">
                  <c:v>917</c:v>
                </c:pt>
                <c:pt idx="12">
                  <c:v>908</c:v>
                </c:pt>
                <c:pt idx="13">
                  <c:v>899</c:v>
                </c:pt>
              </c:numCache>
            </c:numRef>
          </c:val>
          <c:smooth val="0"/>
          <c:extLst>
            <c:ext xmlns:c16="http://schemas.microsoft.com/office/drawing/2014/chart" uri="{C3380CC4-5D6E-409C-BE32-E72D297353CC}">
              <c16:uniqueId val="{00000005-A869-402E-8D97-4EFFB643FD83}"/>
            </c:ext>
          </c:extLst>
        </c:ser>
        <c:ser>
          <c:idx val="5"/>
          <c:order val="6"/>
          <c:tx>
            <c:v>BAU</c:v>
          </c:tx>
          <c:spPr>
            <a:ln w="28575" cap="rnd">
              <a:solidFill>
                <a:schemeClr val="accent6"/>
              </a:solidFill>
              <a:round/>
            </a:ln>
            <a:effectLst/>
          </c:spPr>
          <c:marker>
            <c:symbol val="none"/>
          </c:marker>
          <c:cat>
            <c:numRef>
              <c:f>'BAU (Same Year)'!$D$21:$Q$21</c:f>
              <c:numCache>
                <c:formatCode>General</c:formatCode>
                <c:ptCount val="14"/>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numCache>
            </c:numRef>
          </c:cat>
          <c:val>
            <c:numRef>
              <c:f>'BAU (Same Year)'!$D$22:$Q$22</c:f>
              <c:numCache>
                <c:formatCode>_(* #,##0.00_);_(* \(#,##0.00\);_(* "-"??_);_(@_)</c:formatCode>
                <c:ptCount val="14"/>
                <c:pt idx="0">
                  <c:v>1841.9323818</c:v>
                </c:pt>
                <c:pt idx="1">
                  <c:v>1936.3904526615386</c:v>
                </c:pt>
                <c:pt idx="2">
                  <c:v>2030.8485235230771</c:v>
                </c:pt>
                <c:pt idx="3">
                  <c:v>2125.3065943846154</c:v>
                </c:pt>
                <c:pt idx="4">
                  <c:v>2219.764665246154</c:v>
                </c:pt>
                <c:pt idx="5">
                  <c:v>2314.2227361076925</c:v>
                </c:pt>
                <c:pt idx="6">
                  <c:v>2408.6808069692306</c:v>
                </c:pt>
                <c:pt idx="7">
                  <c:v>2503.1388778307692</c:v>
                </c:pt>
                <c:pt idx="8">
                  <c:v>2597.5969486923077</c:v>
                </c:pt>
                <c:pt idx="9">
                  <c:v>2692.0550195538463</c:v>
                </c:pt>
                <c:pt idx="10">
                  <c:v>2786.5130904153848</c:v>
                </c:pt>
                <c:pt idx="11">
                  <c:v>2880.9711612769233</c:v>
                </c:pt>
                <c:pt idx="12">
                  <c:v>2975.4292321384614</c:v>
                </c:pt>
                <c:pt idx="13">
                  <c:v>3069.887303</c:v>
                </c:pt>
              </c:numCache>
            </c:numRef>
          </c:val>
          <c:smooth val="0"/>
          <c:extLst>
            <c:ext xmlns:c16="http://schemas.microsoft.com/office/drawing/2014/chart" uri="{C3380CC4-5D6E-409C-BE32-E72D297353CC}">
              <c16:uniqueId val="{00000006-A869-402E-8D97-4EFFB643FD83}"/>
            </c:ext>
          </c:extLst>
        </c:ser>
        <c:dLbls>
          <c:showLegendKey val="0"/>
          <c:showVal val="0"/>
          <c:showCatName val="0"/>
          <c:showSerName val="0"/>
          <c:showPercent val="0"/>
          <c:showBubbleSize val="0"/>
        </c:dLbls>
        <c:marker val="1"/>
        <c:smooth val="0"/>
        <c:axId val="306049288"/>
        <c:axId val="306057488"/>
      </c:lineChart>
      <c:catAx>
        <c:axId val="306049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6057488"/>
        <c:crosses val="autoZero"/>
        <c:auto val="1"/>
        <c:lblAlgn val="ctr"/>
        <c:lblOffset val="100"/>
        <c:noMultiLvlLbl val="0"/>
      </c:catAx>
      <c:valAx>
        <c:axId val="306057488"/>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6049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MY"/>
              <a:t>CARBON EMISSION SUMMARY, tCO2e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8634179002881807"/>
          <c:y val="0.16304668005304246"/>
          <c:w val="0.77662835919326345"/>
          <c:h val="0.53275744918582757"/>
        </c:manualLayout>
      </c:layout>
      <c:barChart>
        <c:barDir val="col"/>
        <c:grouping val="stacked"/>
        <c:varyColors val="0"/>
        <c:ser>
          <c:idx val="0"/>
          <c:order val="0"/>
          <c:tx>
            <c:strRef>
              <c:f>'Summary (Main)'!$A$25</c:f>
              <c:strCache>
                <c:ptCount val="1"/>
                <c:pt idx="0">
                  <c:v>Energy</c:v>
                </c:pt>
              </c:strCache>
            </c:strRef>
          </c:tx>
          <c:spPr>
            <a:solidFill>
              <a:schemeClr val="accent2"/>
            </a:solidFill>
            <a:ln>
              <a:noFill/>
            </a:ln>
            <a:effectLst>
              <a:outerShdw blurRad="50800" dist="38100" algn="l" rotWithShape="0">
                <a:prstClr val="black">
                  <a:alpha val="40000"/>
                </a:prstClr>
              </a:outerShdw>
            </a:effectLst>
          </c:spPr>
          <c:invertIfNegative val="0"/>
          <c:cat>
            <c:numRef>
              <c:f>'Summary (Main)'!$D$24:$I$24</c:f>
              <c:numCache>
                <c:formatCode>General</c:formatCode>
                <c:ptCount val="6"/>
                <c:pt idx="0">
                  <c:v>2017</c:v>
                </c:pt>
                <c:pt idx="1">
                  <c:v>2018</c:v>
                </c:pt>
                <c:pt idx="2">
                  <c:v>2019</c:v>
                </c:pt>
                <c:pt idx="3">
                  <c:v>2020</c:v>
                </c:pt>
                <c:pt idx="4">
                  <c:v>2021</c:v>
                </c:pt>
                <c:pt idx="5">
                  <c:v>2022</c:v>
                </c:pt>
              </c:numCache>
            </c:numRef>
          </c:cat>
          <c:val>
            <c:numRef>
              <c:f>'Summary (Main)'!$D$25:$I$25</c:f>
              <c:numCache>
                <c:formatCode>_(* #,##0.00_);_(* \(#,##0.00\);_(* "-"??_);_(@_)</c:formatCode>
                <c:ptCount val="6"/>
                <c:pt idx="0">
                  <c:v>1839.05836</c:v>
                </c:pt>
                <c:pt idx="1">
                  <c:v>2079.2661604999998</c:v>
                </c:pt>
                <c:pt idx="2">
                  <c:v>1999.437596</c:v>
                </c:pt>
                <c:pt idx="3">
                  <c:v>0</c:v>
                </c:pt>
                <c:pt idx="4">
                  <c:v>0</c:v>
                </c:pt>
                <c:pt idx="5">
                  <c:v>0</c:v>
                </c:pt>
              </c:numCache>
            </c:numRef>
          </c:val>
          <c:extLst>
            <c:ext xmlns:c16="http://schemas.microsoft.com/office/drawing/2014/chart" uri="{C3380CC4-5D6E-409C-BE32-E72D297353CC}">
              <c16:uniqueId val="{00000000-A729-4A87-AC24-DD7BE7258445}"/>
            </c:ext>
          </c:extLst>
        </c:ser>
        <c:ser>
          <c:idx val="1"/>
          <c:order val="1"/>
          <c:tx>
            <c:strRef>
              <c:f>'Summary (Main)'!$A$26</c:f>
              <c:strCache>
                <c:ptCount val="1"/>
                <c:pt idx="0">
                  <c:v>Water</c:v>
                </c:pt>
              </c:strCache>
            </c:strRef>
          </c:tx>
          <c:spPr>
            <a:solidFill>
              <a:schemeClr val="accent4"/>
            </a:solidFill>
            <a:ln>
              <a:noFill/>
            </a:ln>
            <a:effectLst/>
          </c:spPr>
          <c:invertIfNegative val="0"/>
          <c:cat>
            <c:numRef>
              <c:f>'Summary (Main)'!$D$24:$I$24</c:f>
              <c:numCache>
                <c:formatCode>General</c:formatCode>
                <c:ptCount val="6"/>
                <c:pt idx="0">
                  <c:v>2017</c:v>
                </c:pt>
                <c:pt idx="1">
                  <c:v>2018</c:v>
                </c:pt>
                <c:pt idx="2">
                  <c:v>2019</c:v>
                </c:pt>
                <c:pt idx="3">
                  <c:v>2020</c:v>
                </c:pt>
                <c:pt idx="4">
                  <c:v>2021</c:v>
                </c:pt>
                <c:pt idx="5">
                  <c:v>2022</c:v>
                </c:pt>
              </c:numCache>
            </c:numRef>
          </c:cat>
          <c:val>
            <c:numRef>
              <c:f>'Summary (Main)'!$D$26:$I$26</c:f>
              <c:numCache>
                <c:formatCode>_(* #,##0.00_);_(* \(#,##0.00\);_(* "-"??_);_(@_)</c:formatCode>
                <c:ptCount val="6"/>
                <c:pt idx="0">
                  <c:v>69.823836</c:v>
                </c:pt>
                <c:pt idx="1">
                  <c:v>133.85541599999999</c:v>
                </c:pt>
                <c:pt idx="2">
                  <c:v>192.98260099999999</c:v>
                </c:pt>
                <c:pt idx="3">
                  <c:v>0</c:v>
                </c:pt>
                <c:pt idx="4">
                  <c:v>0</c:v>
                </c:pt>
                <c:pt idx="5">
                  <c:v>0</c:v>
                </c:pt>
              </c:numCache>
            </c:numRef>
          </c:val>
          <c:extLst>
            <c:ext xmlns:c16="http://schemas.microsoft.com/office/drawing/2014/chart" uri="{C3380CC4-5D6E-409C-BE32-E72D297353CC}">
              <c16:uniqueId val="{00000001-A729-4A87-AC24-DD7BE7258445}"/>
            </c:ext>
          </c:extLst>
        </c:ser>
        <c:ser>
          <c:idx val="2"/>
          <c:order val="2"/>
          <c:tx>
            <c:strRef>
              <c:f>'Summary (Main)'!$A$28</c:f>
              <c:strCache>
                <c:ptCount val="1"/>
                <c:pt idx="0">
                  <c:v>Waste 1     [1]</c:v>
                </c:pt>
              </c:strCache>
            </c:strRef>
          </c:tx>
          <c:spPr>
            <a:solidFill>
              <a:schemeClr val="accent6"/>
            </a:solidFill>
            <a:ln>
              <a:noFill/>
            </a:ln>
            <a:effectLst>
              <a:outerShdw blurRad="50800" dist="38100" algn="l" rotWithShape="0">
                <a:prstClr val="black">
                  <a:alpha val="40000"/>
                </a:prstClr>
              </a:outerShdw>
            </a:effectLst>
          </c:spPr>
          <c:invertIfNegative val="0"/>
          <c:cat>
            <c:numRef>
              <c:f>'Summary (Main)'!$D$24:$I$24</c:f>
              <c:numCache>
                <c:formatCode>General</c:formatCode>
                <c:ptCount val="6"/>
                <c:pt idx="0">
                  <c:v>2017</c:v>
                </c:pt>
                <c:pt idx="1">
                  <c:v>2018</c:v>
                </c:pt>
                <c:pt idx="2">
                  <c:v>2019</c:v>
                </c:pt>
                <c:pt idx="3">
                  <c:v>2020</c:v>
                </c:pt>
                <c:pt idx="4">
                  <c:v>2021</c:v>
                </c:pt>
                <c:pt idx="5">
                  <c:v>2022</c:v>
                </c:pt>
              </c:numCache>
            </c:numRef>
          </c:cat>
          <c:val>
            <c:numRef>
              <c:f>'Summary (Main)'!$D$28:$I$28</c:f>
              <c:numCache>
                <c:formatCode>_(* #,##0.00_);_(* \(#,##0.00\);_(* "-"??_);_(@_)</c:formatCode>
                <c:ptCount val="6"/>
                <c:pt idx="0">
                  <c:v>812.93238180000003</c:v>
                </c:pt>
                <c:pt idx="1">
                  <c:v>1109.7172195999999</c:v>
                </c:pt>
                <c:pt idx="2">
                  <c:v>1130.8323464</c:v>
                </c:pt>
                <c:pt idx="3">
                  <c:v>0</c:v>
                </c:pt>
                <c:pt idx="4">
                  <c:v>0</c:v>
                </c:pt>
                <c:pt idx="5">
                  <c:v>0</c:v>
                </c:pt>
              </c:numCache>
            </c:numRef>
          </c:val>
          <c:extLst>
            <c:ext xmlns:c16="http://schemas.microsoft.com/office/drawing/2014/chart" uri="{C3380CC4-5D6E-409C-BE32-E72D297353CC}">
              <c16:uniqueId val="{00000002-A729-4A87-AC24-DD7BE7258445}"/>
            </c:ext>
          </c:extLst>
        </c:ser>
        <c:ser>
          <c:idx val="3"/>
          <c:order val="3"/>
          <c:tx>
            <c:strRef>
              <c:f>'Summary (Main)'!$A$29</c:f>
              <c:strCache>
                <c:ptCount val="1"/>
                <c:pt idx="0">
                  <c:v>Waste 2     [2]</c:v>
                </c:pt>
              </c:strCache>
            </c:strRef>
          </c:tx>
          <c:spPr>
            <a:solidFill>
              <a:schemeClr val="accent2">
                <a:lumMod val="60000"/>
              </a:schemeClr>
            </a:solidFill>
            <a:ln>
              <a:noFill/>
            </a:ln>
            <a:effectLst/>
          </c:spPr>
          <c:invertIfNegative val="0"/>
          <c:cat>
            <c:numRef>
              <c:f>'Summary (Main)'!$D$24:$I$24</c:f>
              <c:numCache>
                <c:formatCode>General</c:formatCode>
                <c:ptCount val="6"/>
                <c:pt idx="0">
                  <c:v>2017</c:v>
                </c:pt>
                <c:pt idx="1">
                  <c:v>2018</c:v>
                </c:pt>
                <c:pt idx="2">
                  <c:v>2019</c:v>
                </c:pt>
                <c:pt idx="3">
                  <c:v>2020</c:v>
                </c:pt>
                <c:pt idx="4">
                  <c:v>2021</c:v>
                </c:pt>
                <c:pt idx="5">
                  <c:v>2022</c:v>
                </c:pt>
              </c:numCache>
            </c:numRef>
          </c:cat>
          <c:val>
            <c:numRef>
              <c:f>'Summary (Main)'!$D$29:$I$29</c:f>
              <c:numCache>
                <c:formatCode>_(* #,##0.00_);_(* \(#,##0.00\);_(* "-"??_);_(@_)</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A729-4A87-AC24-DD7BE7258445}"/>
            </c:ext>
          </c:extLst>
        </c:ser>
        <c:ser>
          <c:idx val="7"/>
          <c:order val="4"/>
          <c:tx>
            <c:strRef>
              <c:f>'Summary (Main)'!$A$31</c:f>
              <c:strCache>
                <c:ptCount val="1"/>
                <c:pt idx="0">
                  <c:v>Mobility 1  [3]</c:v>
                </c:pt>
              </c:strCache>
            </c:strRef>
          </c:tx>
          <c:spPr>
            <a:solidFill>
              <a:schemeClr val="accent4">
                <a:lumMod val="80000"/>
                <a:lumOff val="20000"/>
              </a:schemeClr>
            </a:solidFill>
            <a:ln>
              <a:noFill/>
            </a:ln>
            <a:effectLst/>
          </c:spPr>
          <c:invertIfNegative val="0"/>
          <c:cat>
            <c:numRef>
              <c:f>'Summary (Main)'!$D$24:$I$24</c:f>
              <c:numCache>
                <c:formatCode>General</c:formatCode>
                <c:ptCount val="6"/>
                <c:pt idx="0">
                  <c:v>2017</c:v>
                </c:pt>
                <c:pt idx="1">
                  <c:v>2018</c:v>
                </c:pt>
                <c:pt idx="2">
                  <c:v>2019</c:v>
                </c:pt>
                <c:pt idx="3">
                  <c:v>2020</c:v>
                </c:pt>
                <c:pt idx="4">
                  <c:v>2021</c:v>
                </c:pt>
                <c:pt idx="5">
                  <c:v>2022</c:v>
                </c:pt>
              </c:numCache>
            </c:numRef>
          </c:cat>
          <c:val>
            <c:numRef>
              <c:f>'Summary (Main)'!$D$31:$I$31</c:f>
              <c:numCache>
                <c:formatCode>_(* #,##0.00_);_(* \(#,##0.00\);_(* "-"??_);_(@_)</c:formatCode>
                <c:ptCount val="6"/>
                <c:pt idx="0">
                  <c:v>0.77913395000000008</c:v>
                </c:pt>
                <c:pt idx="1">
                  <c:v>0.76988870000000009</c:v>
                </c:pt>
                <c:pt idx="2">
                  <c:v>0</c:v>
                </c:pt>
                <c:pt idx="3">
                  <c:v>0</c:v>
                </c:pt>
                <c:pt idx="4">
                  <c:v>0</c:v>
                </c:pt>
                <c:pt idx="5">
                  <c:v>0</c:v>
                </c:pt>
              </c:numCache>
            </c:numRef>
          </c:val>
          <c:extLst>
            <c:ext xmlns:c16="http://schemas.microsoft.com/office/drawing/2014/chart" uri="{C3380CC4-5D6E-409C-BE32-E72D297353CC}">
              <c16:uniqueId val="{00000000-6AA5-4253-A522-BD72DEB20928}"/>
            </c:ext>
          </c:extLst>
        </c:ser>
        <c:ser>
          <c:idx val="4"/>
          <c:order val="5"/>
          <c:tx>
            <c:strRef>
              <c:f>'Summary (Main)'!$A$32</c:f>
              <c:strCache>
                <c:ptCount val="1"/>
                <c:pt idx="0">
                  <c:v>Mobility 2  [4]</c:v>
                </c:pt>
              </c:strCache>
            </c:strRef>
          </c:tx>
          <c:spPr>
            <a:solidFill>
              <a:schemeClr val="accent4">
                <a:lumMod val="60000"/>
              </a:schemeClr>
            </a:solidFill>
            <a:ln>
              <a:noFill/>
            </a:ln>
            <a:effectLst/>
          </c:spPr>
          <c:invertIfNegative val="0"/>
          <c:cat>
            <c:numRef>
              <c:f>'Summary (Main)'!$D$24:$I$24</c:f>
              <c:numCache>
                <c:formatCode>General</c:formatCode>
                <c:ptCount val="6"/>
                <c:pt idx="0">
                  <c:v>2017</c:v>
                </c:pt>
                <c:pt idx="1">
                  <c:v>2018</c:v>
                </c:pt>
                <c:pt idx="2">
                  <c:v>2019</c:v>
                </c:pt>
                <c:pt idx="3">
                  <c:v>2020</c:v>
                </c:pt>
                <c:pt idx="4">
                  <c:v>2021</c:v>
                </c:pt>
                <c:pt idx="5">
                  <c:v>2022</c:v>
                </c:pt>
              </c:numCache>
            </c:numRef>
          </c:cat>
          <c:val>
            <c:numRef>
              <c:f>'Summary (Main)'!$D$32:$I$32</c:f>
              <c:numCache>
                <c:formatCode>_(* #,##0.00_);_(* \(#,##0.00\);_(* "-"??_);_(@_)</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A729-4A87-AC24-DD7BE7258445}"/>
            </c:ext>
          </c:extLst>
        </c:ser>
        <c:dLbls>
          <c:showLegendKey val="0"/>
          <c:showVal val="0"/>
          <c:showCatName val="0"/>
          <c:showSerName val="0"/>
          <c:showPercent val="0"/>
          <c:showBubbleSize val="0"/>
        </c:dLbls>
        <c:gapWidth val="55"/>
        <c:overlap val="100"/>
        <c:axId val="1559135983"/>
        <c:axId val="1554227647"/>
      </c:barChart>
      <c:lineChart>
        <c:grouping val="standard"/>
        <c:varyColors val="0"/>
        <c:ser>
          <c:idx val="5"/>
          <c:order val="6"/>
          <c:tx>
            <c:strRef>
              <c:f>'Summary (Main)'!$B$33</c:f>
              <c:strCache>
                <c:ptCount val="1"/>
                <c:pt idx="0">
                  <c:v>Total Emissions (P)</c:v>
                </c:pt>
              </c:strCache>
            </c:strRef>
          </c:tx>
          <c:spPr>
            <a:ln w="28575" cap="rnd">
              <a:solidFill>
                <a:srgbClr val="33CCCC"/>
              </a:solidFill>
              <a:round/>
            </a:ln>
            <a:effectLst/>
          </c:spPr>
          <c:marker>
            <c:symbol val="none"/>
          </c:marker>
          <c:cat>
            <c:numRef>
              <c:f>'Summary (Main)'!$D$24:$I$24</c:f>
              <c:numCache>
                <c:formatCode>General</c:formatCode>
                <c:ptCount val="6"/>
                <c:pt idx="0">
                  <c:v>2017</c:v>
                </c:pt>
                <c:pt idx="1">
                  <c:v>2018</c:v>
                </c:pt>
                <c:pt idx="2">
                  <c:v>2019</c:v>
                </c:pt>
                <c:pt idx="3">
                  <c:v>2020</c:v>
                </c:pt>
                <c:pt idx="4">
                  <c:v>2021</c:v>
                </c:pt>
                <c:pt idx="5">
                  <c:v>2022</c:v>
                </c:pt>
              </c:numCache>
            </c:numRef>
          </c:cat>
          <c:val>
            <c:numRef>
              <c:f>'Summary (Main)'!$D$33:$I$33</c:f>
              <c:numCache>
                <c:formatCode>_(* #,##0.00_);_(* \(#,##0.00\);_(* "-"??_);_(@_)</c:formatCode>
                <c:ptCount val="6"/>
                <c:pt idx="0">
                  <c:v>2722.5937117499998</c:v>
                </c:pt>
                <c:pt idx="1">
                  <c:v>3323.6086848</c:v>
                </c:pt>
                <c:pt idx="2">
                  <c:v>3323.2525433999999</c:v>
                </c:pt>
                <c:pt idx="3">
                  <c:v>0</c:v>
                </c:pt>
                <c:pt idx="4">
                  <c:v>0</c:v>
                </c:pt>
                <c:pt idx="5">
                  <c:v>0</c:v>
                </c:pt>
              </c:numCache>
            </c:numRef>
          </c:val>
          <c:smooth val="0"/>
          <c:extLst>
            <c:ext xmlns:c16="http://schemas.microsoft.com/office/drawing/2014/chart" uri="{C3380CC4-5D6E-409C-BE32-E72D297353CC}">
              <c16:uniqueId val="{00000005-A729-4A87-AC24-DD7BE7258445}"/>
            </c:ext>
          </c:extLst>
        </c:ser>
        <c:ser>
          <c:idx val="6"/>
          <c:order val="7"/>
          <c:tx>
            <c:strRef>
              <c:f>'Summary (Main)'!$B$39</c:f>
              <c:strCache>
                <c:ptCount val="1"/>
                <c:pt idx="0">
                  <c:v>Business As Usual (B)</c:v>
                </c:pt>
              </c:strCache>
            </c:strRef>
          </c:tx>
          <c:spPr>
            <a:ln w="28575" cap="rnd">
              <a:solidFill>
                <a:srgbClr val="FF00FF"/>
              </a:solidFill>
              <a:round/>
            </a:ln>
            <a:effectLst/>
          </c:spPr>
          <c:marker>
            <c:symbol val="none"/>
          </c:marker>
          <c:cat>
            <c:numRef>
              <c:f>'Summary (Main)'!$D$24:$I$24</c:f>
              <c:numCache>
                <c:formatCode>General</c:formatCode>
                <c:ptCount val="6"/>
                <c:pt idx="0">
                  <c:v>2017</c:v>
                </c:pt>
                <c:pt idx="1">
                  <c:v>2018</c:v>
                </c:pt>
                <c:pt idx="2">
                  <c:v>2019</c:v>
                </c:pt>
                <c:pt idx="3">
                  <c:v>2020</c:v>
                </c:pt>
                <c:pt idx="4">
                  <c:v>2021</c:v>
                </c:pt>
                <c:pt idx="5">
                  <c:v>2022</c:v>
                </c:pt>
              </c:numCache>
            </c:numRef>
          </c:cat>
          <c:val>
            <c:numRef>
              <c:f>'Summary (Main)'!$D$39:$I$39</c:f>
              <c:numCache>
                <c:formatCode>_(* #,##0.00_);_(* \(#,##0.00\);_(* "-"??_);_(@_)</c:formatCode>
                <c:ptCount val="6"/>
                <c:pt idx="0">
                  <c:v>2722.5937117499998</c:v>
                </c:pt>
                <c:pt idx="1">
                  <c:v>3935.7100574117208</c:v>
                </c:pt>
                <c:pt idx="2">
                  <c:v>5148.8264030734417</c:v>
                </c:pt>
                <c:pt idx="3">
                  <c:v>6361.9427487351631</c:v>
                </c:pt>
                <c:pt idx="4">
                  <c:v>7575.0590943968846</c:v>
                </c:pt>
                <c:pt idx="5">
                  <c:v>8788.1754400586069</c:v>
                </c:pt>
              </c:numCache>
            </c:numRef>
          </c:val>
          <c:smooth val="0"/>
          <c:extLst>
            <c:ext xmlns:c16="http://schemas.microsoft.com/office/drawing/2014/chart" uri="{C3380CC4-5D6E-409C-BE32-E72D297353CC}">
              <c16:uniqueId val="{00000006-A729-4A87-AC24-DD7BE7258445}"/>
            </c:ext>
          </c:extLst>
        </c:ser>
        <c:dLbls>
          <c:showLegendKey val="0"/>
          <c:showVal val="0"/>
          <c:showCatName val="0"/>
          <c:showSerName val="0"/>
          <c:showPercent val="0"/>
          <c:showBubbleSize val="0"/>
        </c:dLbls>
        <c:marker val="1"/>
        <c:smooth val="0"/>
        <c:axId val="1559135983"/>
        <c:axId val="1554227647"/>
      </c:lineChart>
      <c:catAx>
        <c:axId val="15591359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4227647"/>
        <c:crosses val="autoZero"/>
        <c:auto val="1"/>
        <c:lblAlgn val="ctr"/>
        <c:lblOffset val="100"/>
        <c:noMultiLvlLbl val="0"/>
      </c:catAx>
      <c:valAx>
        <c:axId val="1554227647"/>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9135983"/>
        <c:crosses val="autoZero"/>
        <c:crossBetween val="between"/>
        <c:majorUnit val="1000"/>
        <c:minorUnit val="500"/>
        <c:dispUnits>
          <c:builtInUnit val="thousand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pattFill prst="dotDmnd">
          <a:fgClr>
            <a:schemeClr val="bg1">
              <a:lumMod val="65000"/>
            </a:schemeClr>
          </a:fgClr>
          <a:bgClr>
            <a:schemeClr val="bg1"/>
          </a:bgClr>
        </a:pattFill>
        <a:ln>
          <a:noFill/>
        </a:ln>
        <a:effectLst/>
      </c:spPr>
    </c:plotArea>
    <c:legend>
      <c:legendPos val="b"/>
      <c:layout>
        <c:manualLayout>
          <c:xMode val="edge"/>
          <c:yMode val="edge"/>
          <c:x val="2.648840385174064E-2"/>
          <c:y val="0.78019921723969521"/>
          <c:w val="0.89614039037623849"/>
          <c:h val="0.2198007827603048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000"/>
              <a:t>CARBON SEQUESTRATION SUMMARY, tCO2e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'Summary (Main)'!$A$45</c:f>
              <c:strCache>
                <c:ptCount val="1"/>
                <c:pt idx="0">
                  <c:v>Greenery</c:v>
                </c:pt>
              </c:strCache>
            </c:strRef>
          </c:tx>
          <c:spPr>
            <a:solidFill>
              <a:schemeClr val="accent6"/>
            </a:solidFill>
            <a:ln>
              <a:noFill/>
            </a:ln>
            <a:effectLst>
              <a:outerShdw blurRad="50800" dist="38100" algn="l" rotWithShape="0">
                <a:prstClr val="black">
                  <a:alpha val="40000"/>
                </a:prstClr>
              </a:outerShdw>
            </a:effectLst>
          </c:spPr>
          <c:invertIfNegative val="0"/>
          <c:cat>
            <c:numRef>
              <c:f>'Summary (Main)'!$D$44:$I$44</c:f>
              <c:numCache>
                <c:formatCode>General</c:formatCode>
                <c:ptCount val="6"/>
                <c:pt idx="0">
                  <c:v>2017</c:v>
                </c:pt>
                <c:pt idx="1">
                  <c:v>2018</c:v>
                </c:pt>
                <c:pt idx="2">
                  <c:v>2019</c:v>
                </c:pt>
                <c:pt idx="3">
                  <c:v>2020</c:v>
                </c:pt>
                <c:pt idx="4">
                  <c:v>2021</c:v>
                </c:pt>
                <c:pt idx="5">
                  <c:v>2022</c:v>
                </c:pt>
              </c:numCache>
            </c:numRef>
          </c:cat>
          <c:val>
            <c:numRef>
              <c:f>'Summary (Main)'!$D$45:$I$45</c:f>
              <c:numCache>
                <c:formatCode>_(* #,##0.00_);_(* \(#,##0.00\);_(* "-"??_);_(@_)</c:formatCode>
                <c:ptCount val="6"/>
                <c:pt idx="0">
                  <c:v>2.1</c:v>
                </c:pt>
                <c:pt idx="1">
                  <c:v>3</c:v>
                </c:pt>
                <c:pt idx="2">
                  <c:v>2.4</c:v>
                </c:pt>
                <c:pt idx="3">
                  <c:v>0</c:v>
                </c:pt>
                <c:pt idx="4">
                  <c:v>0</c:v>
                </c:pt>
                <c:pt idx="5">
                  <c:v>0</c:v>
                </c:pt>
              </c:numCache>
            </c:numRef>
          </c:val>
          <c:extLst>
            <c:ext xmlns:c16="http://schemas.microsoft.com/office/drawing/2014/chart" uri="{C3380CC4-5D6E-409C-BE32-E72D297353CC}">
              <c16:uniqueId val="{00000001-C59B-418D-8A4A-505AAC31A3A1}"/>
            </c:ext>
          </c:extLst>
        </c:ser>
        <c:dLbls>
          <c:showLegendKey val="0"/>
          <c:showVal val="0"/>
          <c:showCatName val="0"/>
          <c:showSerName val="0"/>
          <c:showPercent val="0"/>
          <c:showBubbleSize val="0"/>
        </c:dLbls>
        <c:gapWidth val="150"/>
        <c:axId val="1556763535"/>
        <c:axId val="1625411391"/>
      </c:barChart>
      <c:catAx>
        <c:axId val="15567635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5411391"/>
        <c:crosses val="autoZero"/>
        <c:auto val="1"/>
        <c:lblAlgn val="ctr"/>
        <c:lblOffset val="100"/>
        <c:noMultiLvlLbl val="0"/>
      </c:catAx>
      <c:valAx>
        <c:axId val="1625411391"/>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6763535"/>
        <c:crosses val="autoZero"/>
        <c:crossBetween val="between"/>
        <c:dispUnits>
          <c:builtInUnit val="thousand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pattFill prst="pct20">
          <a:fgClr>
            <a:schemeClr val="bg1">
              <a:lumMod val="65000"/>
            </a:schemeClr>
          </a:fgClr>
          <a:bgClr>
            <a:schemeClr val="bg1"/>
          </a:bgClr>
        </a:patt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7"/>
          <c:order val="0"/>
          <c:tx>
            <c:v>Energy</c:v>
          </c:tx>
          <c:spPr>
            <a:solidFill>
              <a:schemeClr val="accent2">
                <a:lumMod val="60000"/>
              </a:schemeClr>
            </a:solidFill>
            <a:ln>
              <a:noFill/>
            </a:ln>
            <a:effectLst/>
          </c:spPr>
          <c:invertIfNegative val="0"/>
          <c:cat>
            <c:numRef>
              <c:f>'Summary (old)'!$D$20:$Q$20</c:f>
              <c:numCache>
                <c:formatCode>General</c:formatCode>
                <c:ptCount val="14"/>
                <c:pt idx="0">
                  <c:v>2015</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numCache>
            </c:numRef>
          </c:cat>
          <c:val>
            <c:numRef>
              <c:f>'BAU (Diff Year)'!$D$23:$Q$23</c:f>
              <c:numCache>
                <c:formatCode>_(* #,##0.00_);_(* \(#,##0.00\);_(* "-"??_);_(@_)</c:formatCode>
                <c:ptCount val="14"/>
                <c:pt idx="0">
                  <c:v>923</c:v>
                </c:pt>
                <c:pt idx="1">
                  <c:v>920</c:v>
                </c:pt>
                <c:pt idx="2">
                  <c:v>917</c:v>
                </c:pt>
                <c:pt idx="3">
                  <c:v>914</c:v>
                </c:pt>
                <c:pt idx="4">
                  <c:v>911</c:v>
                </c:pt>
                <c:pt idx="5">
                  <c:v>908</c:v>
                </c:pt>
                <c:pt idx="6">
                  <c:v>905</c:v>
                </c:pt>
                <c:pt idx="7">
                  <c:v>902</c:v>
                </c:pt>
                <c:pt idx="8">
                  <c:v>899</c:v>
                </c:pt>
                <c:pt idx="9">
                  <c:v>896</c:v>
                </c:pt>
                <c:pt idx="10">
                  <c:v>893</c:v>
                </c:pt>
                <c:pt idx="11">
                  <c:v>890</c:v>
                </c:pt>
                <c:pt idx="12">
                  <c:v>887</c:v>
                </c:pt>
                <c:pt idx="13">
                  <c:v>884</c:v>
                </c:pt>
              </c:numCache>
            </c:numRef>
          </c:val>
          <c:extLst>
            <c:ext xmlns:c16="http://schemas.microsoft.com/office/drawing/2014/chart" uri="{C3380CC4-5D6E-409C-BE32-E72D297353CC}">
              <c16:uniqueId val="{00000000-5AED-4AE2-9330-4F4CFE6DC5C9}"/>
            </c:ext>
          </c:extLst>
        </c:ser>
        <c:ser>
          <c:idx val="0"/>
          <c:order val="1"/>
          <c:tx>
            <c:v>Water</c:v>
          </c:tx>
          <c:spPr>
            <a:solidFill>
              <a:schemeClr val="accent1"/>
            </a:solidFill>
            <a:ln>
              <a:noFill/>
            </a:ln>
            <a:effectLst/>
          </c:spPr>
          <c:invertIfNegative val="0"/>
          <c:cat>
            <c:numRef>
              <c:f>'Summary (old)'!$D$20:$Q$20</c:f>
              <c:numCache>
                <c:formatCode>General</c:formatCode>
                <c:ptCount val="14"/>
                <c:pt idx="0">
                  <c:v>2015</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numCache>
            </c:numRef>
          </c:cat>
          <c:val>
            <c:numRef>
              <c:f>'BAU (Diff Year)'!$D$24:$Q$24</c:f>
              <c:numCache>
                <c:formatCode>_(* #,##0.00_);_(* \(#,##0.00\);_(* "-"??_);_(@_)</c:formatCode>
                <c:ptCount val="14"/>
                <c:pt idx="2">
                  <c:v>60</c:v>
                </c:pt>
                <c:pt idx="3">
                  <c:v>65</c:v>
                </c:pt>
                <c:pt idx="4">
                  <c:v>70</c:v>
                </c:pt>
                <c:pt idx="5">
                  <c:v>75</c:v>
                </c:pt>
                <c:pt idx="6">
                  <c:v>80</c:v>
                </c:pt>
                <c:pt idx="7">
                  <c:v>85</c:v>
                </c:pt>
                <c:pt idx="8">
                  <c:v>90</c:v>
                </c:pt>
                <c:pt idx="9">
                  <c:v>95</c:v>
                </c:pt>
                <c:pt idx="10">
                  <c:v>100</c:v>
                </c:pt>
                <c:pt idx="11">
                  <c:v>105</c:v>
                </c:pt>
                <c:pt idx="12">
                  <c:v>110</c:v>
                </c:pt>
                <c:pt idx="13">
                  <c:v>115</c:v>
                </c:pt>
              </c:numCache>
            </c:numRef>
          </c:val>
          <c:extLst>
            <c:ext xmlns:c16="http://schemas.microsoft.com/office/drawing/2014/chart" uri="{C3380CC4-5D6E-409C-BE32-E72D297353CC}">
              <c16:uniqueId val="{00000001-5AED-4AE2-9330-4F4CFE6DC5C9}"/>
            </c:ext>
          </c:extLst>
        </c:ser>
        <c:ser>
          <c:idx val="1"/>
          <c:order val="2"/>
          <c:tx>
            <c:v>Waste 2</c:v>
          </c:tx>
          <c:spPr>
            <a:solidFill>
              <a:schemeClr val="accent2"/>
            </a:solidFill>
            <a:ln>
              <a:noFill/>
            </a:ln>
            <a:effectLst/>
          </c:spPr>
          <c:invertIfNegative val="0"/>
          <c:cat>
            <c:numRef>
              <c:f>'Summary (old)'!$D$20:$Q$20</c:f>
              <c:numCache>
                <c:formatCode>General</c:formatCode>
                <c:ptCount val="14"/>
                <c:pt idx="0">
                  <c:v>2015</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numCache>
            </c:numRef>
          </c:cat>
          <c:val>
            <c:numRef>
              <c:f>'BAU (Diff Year)'!$D$26:$Q$26</c:f>
              <c:numCache>
                <c:formatCode>_(* #,##0.00_);_(* \(#,##0.00\);_(* "-"??_);_(@_)</c:formatCode>
                <c:ptCount val="14"/>
                <c:pt idx="3">
                  <c:v>44</c:v>
                </c:pt>
                <c:pt idx="4">
                  <c:v>43</c:v>
                </c:pt>
                <c:pt idx="5">
                  <c:v>42</c:v>
                </c:pt>
                <c:pt idx="6">
                  <c:v>41</c:v>
                </c:pt>
                <c:pt idx="7">
                  <c:v>40</c:v>
                </c:pt>
                <c:pt idx="8">
                  <c:v>39</c:v>
                </c:pt>
                <c:pt idx="9">
                  <c:v>38</c:v>
                </c:pt>
                <c:pt idx="10">
                  <c:v>37</c:v>
                </c:pt>
                <c:pt idx="11">
                  <c:v>36</c:v>
                </c:pt>
                <c:pt idx="12">
                  <c:v>35</c:v>
                </c:pt>
                <c:pt idx="13">
                  <c:v>34</c:v>
                </c:pt>
              </c:numCache>
            </c:numRef>
          </c:val>
          <c:extLst>
            <c:ext xmlns:c16="http://schemas.microsoft.com/office/drawing/2014/chart" uri="{C3380CC4-5D6E-409C-BE32-E72D297353CC}">
              <c16:uniqueId val="{00000002-5AED-4AE2-9330-4F4CFE6DC5C9}"/>
            </c:ext>
          </c:extLst>
        </c:ser>
        <c:ser>
          <c:idx val="2"/>
          <c:order val="3"/>
          <c:tx>
            <c:v>Mobility</c:v>
          </c:tx>
          <c:spPr>
            <a:solidFill>
              <a:schemeClr val="accent3"/>
            </a:solidFill>
            <a:ln>
              <a:noFill/>
            </a:ln>
            <a:effectLst/>
          </c:spPr>
          <c:invertIfNegative val="0"/>
          <c:cat>
            <c:numRef>
              <c:f>'Summary (old)'!$D$20:$Q$20</c:f>
              <c:numCache>
                <c:formatCode>General</c:formatCode>
                <c:ptCount val="14"/>
                <c:pt idx="0">
                  <c:v>2015</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numCache>
            </c:numRef>
          </c:cat>
          <c:val>
            <c:numRef>
              <c:f>'BAU (Diff Year)'!$D$28:$Q$28</c:f>
              <c:numCache>
                <c:formatCode>_(* #,##0.00_);_(* \(#,##0.00\);_(* "-"??_);_(@_)</c:formatCode>
                <c:ptCount val="14"/>
                <c:pt idx="4">
                  <c:v>320</c:v>
                </c:pt>
                <c:pt idx="5">
                  <c:v>315</c:v>
                </c:pt>
                <c:pt idx="6">
                  <c:v>310</c:v>
                </c:pt>
                <c:pt idx="7">
                  <c:v>305</c:v>
                </c:pt>
                <c:pt idx="8">
                  <c:v>300</c:v>
                </c:pt>
                <c:pt idx="9">
                  <c:v>295</c:v>
                </c:pt>
                <c:pt idx="10">
                  <c:v>290</c:v>
                </c:pt>
                <c:pt idx="11">
                  <c:v>285</c:v>
                </c:pt>
                <c:pt idx="12">
                  <c:v>280</c:v>
                </c:pt>
                <c:pt idx="13">
                  <c:v>275</c:v>
                </c:pt>
              </c:numCache>
            </c:numRef>
          </c:val>
          <c:extLst>
            <c:ext xmlns:c16="http://schemas.microsoft.com/office/drawing/2014/chart" uri="{C3380CC4-5D6E-409C-BE32-E72D297353CC}">
              <c16:uniqueId val="{00000003-5AED-4AE2-9330-4F4CFE6DC5C9}"/>
            </c:ext>
          </c:extLst>
        </c:ser>
        <c:ser>
          <c:idx val="3"/>
          <c:order val="4"/>
          <c:tx>
            <c:v>Greenery</c:v>
          </c:tx>
          <c:spPr>
            <a:solidFill>
              <a:schemeClr val="accent4"/>
            </a:solidFill>
            <a:ln>
              <a:noFill/>
            </a:ln>
            <a:effectLst/>
          </c:spPr>
          <c:invertIfNegative val="0"/>
          <c:cat>
            <c:numRef>
              <c:f>'Summary (old)'!$D$20:$Q$20</c:f>
              <c:numCache>
                <c:formatCode>General</c:formatCode>
                <c:ptCount val="14"/>
                <c:pt idx="0">
                  <c:v>2015</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numCache>
            </c:numRef>
          </c:cat>
          <c:val>
            <c:numRef>
              <c:f>'BAU (Diff Year)'!$D$27:$Q$27</c:f>
              <c:numCache>
                <c:formatCode>_(* #,##0.00_);_(* \(#,##0.00\);_(* "-"??_);_(@_)</c:formatCode>
                <c:ptCount val="14"/>
                <c:pt idx="0">
                  <c:v>-344</c:v>
                </c:pt>
                <c:pt idx="1">
                  <c:v>-349</c:v>
                </c:pt>
                <c:pt idx="2">
                  <c:v>-354</c:v>
                </c:pt>
                <c:pt idx="3">
                  <c:v>-359</c:v>
                </c:pt>
                <c:pt idx="4">
                  <c:v>-364</c:v>
                </c:pt>
                <c:pt idx="5">
                  <c:v>-369</c:v>
                </c:pt>
                <c:pt idx="6">
                  <c:v>-374</c:v>
                </c:pt>
                <c:pt idx="7">
                  <c:v>-379</c:v>
                </c:pt>
                <c:pt idx="8">
                  <c:v>-384</c:v>
                </c:pt>
                <c:pt idx="9">
                  <c:v>-389</c:v>
                </c:pt>
                <c:pt idx="10">
                  <c:v>-394</c:v>
                </c:pt>
                <c:pt idx="11">
                  <c:v>-399</c:v>
                </c:pt>
                <c:pt idx="12">
                  <c:v>-404</c:v>
                </c:pt>
                <c:pt idx="13">
                  <c:v>-409</c:v>
                </c:pt>
              </c:numCache>
            </c:numRef>
          </c:val>
          <c:extLst>
            <c:ext xmlns:c16="http://schemas.microsoft.com/office/drawing/2014/chart" uri="{C3380CC4-5D6E-409C-BE32-E72D297353CC}">
              <c16:uniqueId val="{00000004-5AED-4AE2-9330-4F4CFE6DC5C9}"/>
            </c:ext>
          </c:extLst>
        </c:ser>
        <c:dLbls>
          <c:showLegendKey val="0"/>
          <c:showVal val="0"/>
          <c:showCatName val="0"/>
          <c:showSerName val="0"/>
          <c:showPercent val="0"/>
          <c:showBubbleSize val="0"/>
        </c:dLbls>
        <c:gapWidth val="219"/>
        <c:overlap val="100"/>
        <c:axId val="306049288"/>
        <c:axId val="306057488"/>
      </c:barChart>
      <c:lineChart>
        <c:grouping val="standard"/>
        <c:varyColors val="0"/>
        <c:ser>
          <c:idx val="4"/>
          <c:order val="5"/>
          <c:tx>
            <c:v>Total Emissions</c:v>
          </c:tx>
          <c:spPr>
            <a:ln w="28575" cap="rnd">
              <a:solidFill>
                <a:schemeClr val="accent5"/>
              </a:solidFill>
              <a:round/>
            </a:ln>
            <a:effectLst/>
          </c:spPr>
          <c:marker>
            <c:symbol val="none"/>
          </c:marker>
          <c:cat>
            <c:numRef>
              <c:f>'BAU (Diff Year)'!$D$21:$Q$21</c:f>
              <c:numCache>
                <c:formatCode>General</c:formatCode>
                <c:ptCount val="14"/>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numCache>
            </c:numRef>
          </c:cat>
          <c:val>
            <c:numRef>
              <c:f>'BAU (Diff Year)'!$D$29:$Q$29</c:f>
              <c:numCache>
                <c:formatCode>_(* #,##0.00_);_(* \(#,##0.00\);_(* "-"??_);_(@_)</c:formatCode>
                <c:ptCount val="14"/>
                <c:pt idx="0">
                  <c:v>1391.9323818</c:v>
                </c:pt>
                <c:pt idx="1">
                  <c:v>571</c:v>
                </c:pt>
                <c:pt idx="2">
                  <c:v>623</c:v>
                </c:pt>
                <c:pt idx="3">
                  <c:v>664</c:v>
                </c:pt>
                <c:pt idx="4">
                  <c:v>980</c:v>
                </c:pt>
                <c:pt idx="5">
                  <c:v>971</c:v>
                </c:pt>
                <c:pt idx="6">
                  <c:v>962</c:v>
                </c:pt>
                <c:pt idx="7">
                  <c:v>953</c:v>
                </c:pt>
                <c:pt idx="8">
                  <c:v>944</c:v>
                </c:pt>
                <c:pt idx="9">
                  <c:v>935</c:v>
                </c:pt>
                <c:pt idx="10">
                  <c:v>926</c:v>
                </c:pt>
                <c:pt idx="11">
                  <c:v>917</c:v>
                </c:pt>
                <c:pt idx="12">
                  <c:v>908</c:v>
                </c:pt>
                <c:pt idx="13">
                  <c:v>899</c:v>
                </c:pt>
              </c:numCache>
            </c:numRef>
          </c:val>
          <c:smooth val="0"/>
          <c:extLst>
            <c:ext xmlns:c16="http://schemas.microsoft.com/office/drawing/2014/chart" uri="{C3380CC4-5D6E-409C-BE32-E72D297353CC}">
              <c16:uniqueId val="{00000005-5AED-4AE2-9330-4F4CFE6DC5C9}"/>
            </c:ext>
          </c:extLst>
        </c:ser>
        <c:ser>
          <c:idx val="5"/>
          <c:order val="6"/>
          <c:tx>
            <c:v>BAU</c:v>
          </c:tx>
          <c:spPr>
            <a:ln w="28575" cap="rnd">
              <a:solidFill>
                <a:schemeClr val="accent6"/>
              </a:solidFill>
              <a:round/>
            </a:ln>
            <a:effectLst/>
          </c:spPr>
          <c:marker>
            <c:symbol val="none"/>
          </c:marker>
          <c:cat>
            <c:numRef>
              <c:f>'BAU (Diff Year)'!$D$21:$Q$21</c:f>
              <c:numCache>
                <c:formatCode>General</c:formatCode>
                <c:ptCount val="14"/>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numCache>
            </c:numRef>
          </c:cat>
          <c:val>
            <c:numRef>
              <c:f>'BAU (Diff Year)'!$D$22:$Q$22</c:f>
              <c:numCache>
                <c:formatCode>_(* #,##0.00_);_(* \(#,##0.00\);_(* "-"??_);_(@_)</c:formatCode>
                <c:ptCount val="14"/>
                <c:pt idx="0">
                  <c:v>1391.9323818</c:v>
                </c:pt>
                <c:pt idx="1">
                  <c:v>1463.3135295846155</c:v>
                </c:pt>
                <c:pt idx="2">
                  <c:v>1534.6946773692309</c:v>
                </c:pt>
                <c:pt idx="3">
                  <c:v>1606.0758251538462</c:v>
                </c:pt>
                <c:pt idx="4">
                  <c:v>1677.4569729384614</c:v>
                </c:pt>
                <c:pt idx="5">
                  <c:v>1748.8381207230768</c:v>
                </c:pt>
                <c:pt idx="6">
                  <c:v>1820.2192685076923</c:v>
                </c:pt>
                <c:pt idx="7">
                  <c:v>1891.6004162923077</c:v>
                </c:pt>
                <c:pt idx="8">
                  <c:v>1962.981564076923</c:v>
                </c:pt>
                <c:pt idx="9">
                  <c:v>2034.3627118615384</c:v>
                </c:pt>
                <c:pt idx="10">
                  <c:v>2105.7438596461539</c:v>
                </c:pt>
                <c:pt idx="11">
                  <c:v>2177.1250074307691</c:v>
                </c:pt>
                <c:pt idx="12">
                  <c:v>2248.5061552153848</c:v>
                </c:pt>
                <c:pt idx="13">
                  <c:v>2319.887303</c:v>
                </c:pt>
              </c:numCache>
            </c:numRef>
          </c:val>
          <c:smooth val="0"/>
          <c:extLst>
            <c:ext xmlns:c16="http://schemas.microsoft.com/office/drawing/2014/chart" uri="{C3380CC4-5D6E-409C-BE32-E72D297353CC}">
              <c16:uniqueId val="{00000006-5AED-4AE2-9330-4F4CFE6DC5C9}"/>
            </c:ext>
          </c:extLst>
        </c:ser>
        <c:dLbls>
          <c:showLegendKey val="0"/>
          <c:showVal val="0"/>
          <c:showCatName val="0"/>
          <c:showSerName val="0"/>
          <c:showPercent val="0"/>
          <c:showBubbleSize val="0"/>
        </c:dLbls>
        <c:marker val="1"/>
        <c:smooth val="0"/>
        <c:axId val="306049288"/>
        <c:axId val="306057488"/>
      </c:lineChart>
      <c:catAx>
        <c:axId val="306049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6057488"/>
        <c:crosses val="autoZero"/>
        <c:auto val="1"/>
        <c:lblAlgn val="ctr"/>
        <c:lblOffset val="100"/>
        <c:noMultiLvlLbl val="0"/>
      </c:catAx>
      <c:valAx>
        <c:axId val="306057488"/>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6049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7"/>
          <c:order val="0"/>
          <c:tx>
            <c:v>Energy</c:v>
          </c:tx>
          <c:spPr>
            <a:solidFill>
              <a:schemeClr val="accent2">
                <a:lumMod val="60000"/>
              </a:schemeClr>
            </a:solidFill>
            <a:ln>
              <a:noFill/>
            </a:ln>
            <a:effectLst/>
          </c:spPr>
          <c:invertIfNegative val="0"/>
          <c:cat>
            <c:numRef>
              <c:f>'Summary (old)'!$D$20:$Q$20</c:f>
              <c:numCache>
                <c:formatCode>General</c:formatCode>
                <c:ptCount val="14"/>
                <c:pt idx="0">
                  <c:v>2015</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numCache>
            </c:numRef>
          </c:cat>
          <c:val>
            <c:numRef>
              <c:f>'BAU (Diff Year)'!$D$23:$Q$23</c:f>
              <c:numCache>
                <c:formatCode>_(* #,##0.00_);_(* \(#,##0.00\);_(* "-"??_);_(@_)</c:formatCode>
                <c:ptCount val="14"/>
                <c:pt idx="0">
                  <c:v>923</c:v>
                </c:pt>
                <c:pt idx="1">
                  <c:v>920</c:v>
                </c:pt>
                <c:pt idx="2">
                  <c:v>917</c:v>
                </c:pt>
                <c:pt idx="3">
                  <c:v>914</c:v>
                </c:pt>
                <c:pt idx="4">
                  <c:v>911</c:v>
                </c:pt>
                <c:pt idx="5">
                  <c:v>908</c:v>
                </c:pt>
                <c:pt idx="6">
                  <c:v>905</c:v>
                </c:pt>
                <c:pt idx="7">
                  <c:v>902</c:v>
                </c:pt>
                <c:pt idx="8">
                  <c:v>899</c:v>
                </c:pt>
                <c:pt idx="9">
                  <c:v>896</c:v>
                </c:pt>
                <c:pt idx="10">
                  <c:v>893</c:v>
                </c:pt>
                <c:pt idx="11">
                  <c:v>890</c:v>
                </c:pt>
                <c:pt idx="12">
                  <c:v>887</c:v>
                </c:pt>
                <c:pt idx="13">
                  <c:v>884</c:v>
                </c:pt>
              </c:numCache>
            </c:numRef>
          </c:val>
          <c:extLst>
            <c:ext xmlns:c16="http://schemas.microsoft.com/office/drawing/2014/chart" uri="{C3380CC4-5D6E-409C-BE32-E72D297353CC}">
              <c16:uniqueId val="{00000000-7ECE-44B2-8BF2-F5B5B785CC5E}"/>
            </c:ext>
          </c:extLst>
        </c:ser>
        <c:ser>
          <c:idx val="0"/>
          <c:order val="1"/>
          <c:tx>
            <c:v>Water</c:v>
          </c:tx>
          <c:spPr>
            <a:solidFill>
              <a:schemeClr val="accent1"/>
            </a:solidFill>
            <a:ln>
              <a:noFill/>
            </a:ln>
            <a:effectLst/>
          </c:spPr>
          <c:invertIfNegative val="0"/>
          <c:cat>
            <c:numRef>
              <c:f>'Summary (old)'!$D$20:$Q$20</c:f>
              <c:numCache>
                <c:formatCode>General</c:formatCode>
                <c:ptCount val="14"/>
                <c:pt idx="0">
                  <c:v>2015</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numCache>
            </c:numRef>
          </c:cat>
          <c:val>
            <c:numRef>
              <c:f>'BAU (Diff Year)'!$D$24:$Q$24</c:f>
              <c:numCache>
                <c:formatCode>_(* #,##0.00_);_(* \(#,##0.00\);_(* "-"??_);_(@_)</c:formatCode>
                <c:ptCount val="14"/>
                <c:pt idx="2">
                  <c:v>60</c:v>
                </c:pt>
                <c:pt idx="3">
                  <c:v>65</c:v>
                </c:pt>
                <c:pt idx="4">
                  <c:v>70</c:v>
                </c:pt>
                <c:pt idx="5">
                  <c:v>75</c:v>
                </c:pt>
                <c:pt idx="6">
                  <c:v>80</c:v>
                </c:pt>
                <c:pt idx="7">
                  <c:v>85</c:v>
                </c:pt>
                <c:pt idx="8">
                  <c:v>90</c:v>
                </c:pt>
                <c:pt idx="9">
                  <c:v>95</c:v>
                </c:pt>
                <c:pt idx="10">
                  <c:v>100</c:v>
                </c:pt>
                <c:pt idx="11">
                  <c:v>105</c:v>
                </c:pt>
                <c:pt idx="12">
                  <c:v>110</c:v>
                </c:pt>
                <c:pt idx="13">
                  <c:v>115</c:v>
                </c:pt>
              </c:numCache>
            </c:numRef>
          </c:val>
          <c:extLst>
            <c:ext xmlns:c16="http://schemas.microsoft.com/office/drawing/2014/chart" uri="{C3380CC4-5D6E-409C-BE32-E72D297353CC}">
              <c16:uniqueId val="{00000001-7ECE-44B2-8BF2-F5B5B785CC5E}"/>
            </c:ext>
          </c:extLst>
        </c:ser>
        <c:ser>
          <c:idx val="1"/>
          <c:order val="2"/>
          <c:tx>
            <c:v>Waste 2</c:v>
          </c:tx>
          <c:spPr>
            <a:solidFill>
              <a:schemeClr val="accent2"/>
            </a:solidFill>
            <a:ln>
              <a:noFill/>
            </a:ln>
            <a:effectLst/>
          </c:spPr>
          <c:invertIfNegative val="0"/>
          <c:cat>
            <c:numRef>
              <c:f>'Summary (old)'!$D$20:$Q$20</c:f>
              <c:numCache>
                <c:formatCode>General</c:formatCode>
                <c:ptCount val="14"/>
                <c:pt idx="0">
                  <c:v>2015</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numCache>
            </c:numRef>
          </c:cat>
          <c:val>
            <c:numRef>
              <c:f>'BAU (Diff Year)'!$D$26:$Q$26</c:f>
              <c:numCache>
                <c:formatCode>_(* #,##0.00_);_(* \(#,##0.00\);_(* "-"??_);_(@_)</c:formatCode>
                <c:ptCount val="14"/>
                <c:pt idx="3">
                  <c:v>44</c:v>
                </c:pt>
                <c:pt idx="4">
                  <c:v>43</c:v>
                </c:pt>
                <c:pt idx="5">
                  <c:v>42</c:v>
                </c:pt>
                <c:pt idx="6">
                  <c:v>41</c:v>
                </c:pt>
                <c:pt idx="7">
                  <c:v>40</c:v>
                </c:pt>
                <c:pt idx="8">
                  <c:v>39</c:v>
                </c:pt>
                <c:pt idx="9">
                  <c:v>38</c:v>
                </c:pt>
                <c:pt idx="10">
                  <c:v>37</c:v>
                </c:pt>
                <c:pt idx="11">
                  <c:v>36</c:v>
                </c:pt>
                <c:pt idx="12">
                  <c:v>35</c:v>
                </c:pt>
                <c:pt idx="13">
                  <c:v>34</c:v>
                </c:pt>
              </c:numCache>
            </c:numRef>
          </c:val>
          <c:extLst>
            <c:ext xmlns:c16="http://schemas.microsoft.com/office/drawing/2014/chart" uri="{C3380CC4-5D6E-409C-BE32-E72D297353CC}">
              <c16:uniqueId val="{00000002-7ECE-44B2-8BF2-F5B5B785CC5E}"/>
            </c:ext>
          </c:extLst>
        </c:ser>
        <c:ser>
          <c:idx val="2"/>
          <c:order val="3"/>
          <c:tx>
            <c:v>Mobility</c:v>
          </c:tx>
          <c:spPr>
            <a:solidFill>
              <a:schemeClr val="accent3"/>
            </a:solidFill>
            <a:ln>
              <a:noFill/>
            </a:ln>
            <a:effectLst/>
          </c:spPr>
          <c:invertIfNegative val="0"/>
          <c:cat>
            <c:numRef>
              <c:f>'Summary (old)'!$D$20:$Q$20</c:f>
              <c:numCache>
                <c:formatCode>General</c:formatCode>
                <c:ptCount val="14"/>
                <c:pt idx="0">
                  <c:v>2015</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numCache>
            </c:numRef>
          </c:cat>
          <c:val>
            <c:numRef>
              <c:f>'BAU (Diff Year)'!$D$28:$Q$28</c:f>
              <c:numCache>
                <c:formatCode>_(* #,##0.00_);_(* \(#,##0.00\);_(* "-"??_);_(@_)</c:formatCode>
                <c:ptCount val="14"/>
                <c:pt idx="4">
                  <c:v>320</c:v>
                </c:pt>
                <c:pt idx="5">
                  <c:v>315</c:v>
                </c:pt>
                <c:pt idx="6">
                  <c:v>310</c:v>
                </c:pt>
                <c:pt idx="7">
                  <c:v>305</c:v>
                </c:pt>
                <c:pt idx="8">
                  <c:v>300</c:v>
                </c:pt>
                <c:pt idx="9">
                  <c:v>295</c:v>
                </c:pt>
                <c:pt idx="10">
                  <c:v>290</c:v>
                </c:pt>
                <c:pt idx="11">
                  <c:v>285</c:v>
                </c:pt>
                <c:pt idx="12">
                  <c:v>280</c:v>
                </c:pt>
                <c:pt idx="13">
                  <c:v>275</c:v>
                </c:pt>
              </c:numCache>
            </c:numRef>
          </c:val>
          <c:extLst>
            <c:ext xmlns:c16="http://schemas.microsoft.com/office/drawing/2014/chart" uri="{C3380CC4-5D6E-409C-BE32-E72D297353CC}">
              <c16:uniqueId val="{00000003-7ECE-44B2-8BF2-F5B5B785CC5E}"/>
            </c:ext>
          </c:extLst>
        </c:ser>
        <c:ser>
          <c:idx val="3"/>
          <c:order val="4"/>
          <c:tx>
            <c:v>Greenery</c:v>
          </c:tx>
          <c:spPr>
            <a:solidFill>
              <a:schemeClr val="accent4"/>
            </a:solidFill>
            <a:ln>
              <a:noFill/>
            </a:ln>
            <a:effectLst/>
          </c:spPr>
          <c:invertIfNegative val="0"/>
          <c:cat>
            <c:numRef>
              <c:f>'Summary (old)'!$D$20:$Q$20</c:f>
              <c:numCache>
                <c:formatCode>General</c:formatCode>
                <c:ptCount val="14"/>
                <c:pt idx="0">
                  <c:v>2015</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numCache>
            </c:numRef>
          </c:cat>
          <c:val>
            <c:numRef>
              <c:f>'BAU (Diff Year)'!$D$27:$Q$27</c:f>
              <c:numCache>
                <c:formatCode>_(* #,##0.00_);_(* \(#,##0.00\);_(* "-"??_);_(@_)</c:formatCode>
                <c:ptCount val="14"/>
                <c:pt idx="0">
                  <c:v>-344</c:v>
                </c:pt>
                <c:pt idx="1">
                  <c:v>-349</c:v>
                </c:pt>
                <c:pt idx="2">
                  <c:v>-354</c:v>
                </c:pt>
                <c:pt idx="3">
                  <c:v>-359</c:v>
                </c:pt>
                <c:pt idx="4">
                  <c:v>-364</c:v>
                </c:pt>
                <c:pt idx="5">
                  <c:v>-369</c:v>
                </c:pt>
                <c:pt idx="6">
                  <c:v>-374</c:v>
                </c:pt>
                <c:pt idx="7">
                  <c:v>-379</c:v>
                </c:pt>
                <c:pt idx="8">
                  <c:v>-384</c:v>
                </c:pt>
                <c:pt idx="9">
                  <c:v>-389</c:v>
                </c:pt>
                <c:pt idx="10">
                  <c:v>-394</c:v>
                </c:pt>
                <c:pt idx="11">
                  <c:v>-399</c:v>
                </c:pt>
                <c:pt idx="12">
                  <c:v>-404</c:v>
                </c:pt>
                <c:pt idx="13">
                  <c:v>-409</c:v>
                </c:pt>
              </c:numCache>
            </c:numRef>
          </c:val>
          <c:extLst>
            <c:ext xmlns:c16="http://schemas.microsoft.com/office/drawing/2014/chart" uri="{C3380CC4-5D6E-409C-BE32-E72D297353CC}">
              <c16:uniqueId val="{00000004-7ECE-44B2-8BF2-F5B5B785CC5E}"/>
            </c:ext>
          </c:extLst>
        </c:ser>
        <c:dLbls>
          <c:showLegendKey val="0"/>
          <c:showVal val="0"/>
          <c:showCatName val="0"/>
          <c:showSerName val="0"/>
          <c:showPercent val="0"/>
          <c:showBubbleSize val="0"/>
        </c:dLbls>
        <c:gapWidth val="219"/>
        <c:overlap val="100"/>
        <c:axId val="306049288"/>
        <c:axId val="306057488"/>
      </c:barChart>
      <c:lineChart>
        <c:grouping val="standard"/>
        <c:varyColors val="0"/>
        <c:ser>
          <c:idx val="4"/>
          <c:order val="5"/>
          <c:tx>
            <c:v>Total Emissions</c:v>
          </c:tx>
          <c:spPr>
            <a:ln w="28575" cap="rnd">
              <a:solidFill>
                <a:schemeClr val="accent5"/>
              </a:solidFill>
              <a:round/>
            </a:ln>
            <a:effectLst/>
          </c:spPr>
          <c:marker>
            <c:symbol val="none"/>
          </c:marker>
          <c:cat>
            <c:numRef>
              <c:f>'BAU (Diff Year)'!$D$21:$Q$21</c:f>
              <c:numCache>
                <c:formatCode>General</c:formatCode>
                <c:ptCount val="14"/>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numCache>
            </c:numRef>
          </c:cat>
          <c:val>
            <c:numRef>
              <c:f>'BAU (Diff Year)'!$D$29:$Q$29</c:f>
              <c:numCache>
                <c:formatCode>_(* #,##0.00_);_(* \(#,##0.00\);_(* "-"??_);_(@_)</c:formatCode>
                <c:ptCount val="14"/>
                <c:pt idx="0">
                  <c:v>1391.9323818</c:v>
                </c:pt>
                <c:pt idx="1">
                  <c:v>571</c:v>
                </c:pt>
                <c:pt idx="2">
                  <c:v>623</c:v>
                </c:pt>
                <c:pt idx="3">
                  <c:v>664</c:v>
                </c:pt>
                <c:pt idx="4">
                  <c:v>980</c:v>
                </c:pt>
                <c:pt idx="5">
                  <c:v>971</c:v>
                </c:pt>
                <c:pt idx="6">
                  <c:v>962</c:v>
                </c:pt>
                <c:pt idx="7">
                  <c:v>953</c:v>
                </c:pt>
                <c:pt idx="8">
                  <c:v>944</c:v>
                </c:pt>
                <c:pt idx="9">
                  <c:v>935</c:v>
                </c:pt>
                <c:pt idx="10">
                  <c:v>926</c:v>
                </c:pt>
                <c:pt idx="11">
                  <c:v>917</c:v>
                </c:pt>
                <c:pt idx="12">
                  <c:v>908</c:v>
                </c:pt>
                <c:pt idx="13">
                  <c:v>899</c:v>
                </c:pt>
              </c:numCache>
            </c:numRef>
          </c:val>
          <c:smooth val="0"/>
          <c:extLst>
            <c:ext xmlns:c16="http://schemas.microsoft.com/office/drawing/2014/chart" uri="{C3380CC4-5D6E-409C-BE32-E72D297353CC}">
              <c16:uniqueId val="{00000005-7ECE-44B2-8BF2-F5B5B785CC5E}"/>
            </c:ext>
          </c:extLst>
        </c:ser>
        <c:ser>
          <c:idx val="5"/>
          <c:order val="6"/>
          <c:tx>
            <c:v>BAU</c:v>
          </c:tx>
          <c:spPr>
            <a:ln w="28575" cap="rnd">
              <a:solidFill>
                <a:schemeClr val="accent6"/>
              </a:solidFill>
              <a:round/>
            </a:ln>
            <a:effectLst/>
          </c:spPr>
          <c:marker>
            <c:symbol val="none"/>
          </c:marker>
          <c:cat>
            <c:numRef>
              <c:f>'BAU (Diff Year)'!$D$21:$Q$21</c:f>
              <c:numCache>
                <c:formatCode>General</c:formatCode>
                <c:ptCount val="14"/>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numCache>
            </c:numRef>
          </c:cat>
          <c:val>
            <c:numRef>
              <c:f>'BAU (Diff Year)'!$D$22:$Q$22</c:f>
              <c:numCache>
                <c:formatCode>_(* #,##0.00_);_(* \(#,##0.00\);_(* "-"??_);_(@_)</c:formatCode>
                <c:ptCount val="14"/>
                <c:pt idx="0">
                  <c:v>1391.9323818</c:v>
                </c:pt>
                <c:pt idx="1">
                  <c:v>1463.3135295846155</c:v>
                </c:pt>
                <c:pt idx="2">
                  <c:v>1534.6946773692309</c:v>
                </c:pt>
                <c:pt idx="3">
                  <c:v>1606.0758251538462</c:v>
                </c:pt>
                <c:pt idx="4">
                  <c:v>1677.4569729384614</c:v>
                </c:pt>
                <c:pt idx="5">
                  <c:v>1748.8381207230768</c:v>
                </c:pt>
                <c:pt idx="6">
                  <c:v>1820.2192685076923</c:v>
                </c:pt>
                <c:pt idx="7">
                  <c:v>1891.6004162923077</c:v>
                </c:pt>
                <c:pt idx="8">
                  <c:v>1962.981564076923</c:v>
                </c:pt>
                <c:pt idx="9">
                  <c:v>2034.3627118615384</c:v>
                </c:pt>
                <c:pt idx="10">
                  <c:v>2105.7438596461539</c:v>
                </c:pt>
                <c:pt idx="11">
                  <c:v>2177.1250074307691</c:v>
                </c:pt>
                <c:pt idx="12">
                  <c:v>2248.5061552153848</c:v>
                </c:pt>
                <c:pt idx="13">
                  <c:v>2319.887303</c:v>
                </c:pt>
              </c:numCache>
            </c:numRef>
          </c:val>
          <c:smooth val="0"/>
          <c:extLst>
            <c:ext xmlns:c16="http://schemas.microsoft.com/office/drawing/2014/chart" uri="{C3380CC4-5D6E-409C-BE32-E72D297353CC}">
              <c16:uniqueId val="{00000006-7ECE-44B2-8BF2-F5B5B785CC5E}"/>
            </c:ext>
          </c:extLst>
        </c:ser>
        <c:dLbls>
          <c:showLegendKey val="0"/>
          <c:showVal val="0"/>
          <c:showCatName val="0"/>
          <c:showSerName val="0"/>
          <c:showPercent val="0"/>
          <c:showBubbleSize val="0"/>
        </c:dLbls>
        <c:marker val="1"/>
        <c:smooth val="0"/>
        <c:axId val="306049288"/>
        <c:axId val="306057488"/>
      </c:lineChart>
      <c:catAx>
        <c:axId val="306049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6057488"/>
        <c:crosses val="autoZero"/>
        <c:auto val="1"/>
        <c:lblAlgn val="ctr"/>
        <c:lblOffset val="100"/>
        <c:noMultiLvlLbl val="0"/>
      </c:catAx>
      <c:valAx>
        <c:axId val="306057488"/>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6049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cap="none" spc="0" normalizeH="0" baseline="0">
                <a:solidFill>
                  <a:schemeClr val="tx1">
                    <a:lumMod val="65000"/>
                    <a:lumOff val="35000"/>
                  </a:schemeClr>
                </a:solidFill>
                <a:latin typeface="+mj-lt"/>
                <a:ea typeface="+mj-ea"/>
                <a:cs typeface="+mj-cs"/>
              </a:defRPr>
            </a:pPr>
            <a:r>
              <a:rPr lang="en-MY" sz="1100"/>
              <a:t>ANNUAL ELECTRICITY CONSUMPTION &amp; GHG EMISSIONS</a:t>
            </a:r>
          </a:p>
        </c:rich>
      </c:tx>
      <c:overlay val="0"/>
      <c:spPr>
        <a:noFill/>
        <a:ln>
          <a:noFill/>
        </a:ln>
        <a:effectLst/>
      </c:spPr>
      <c:txPr>
        <a:bodyPr rot="0" spcFirstLastPara="1" vertOverflow="ellipsis" vert="horz" wrap="square" anchor="ctr" anchorCtr="1"/>
        <a:lstStyle/>
        <a:p>
          <a:pPr>
            <a:defRPr sz="1100" b="0" i="0" u="none" strike="noStrike" kern="1200" cap="none" spc="0" normalizeH="0" baseline="0">
              <a:solidFill>
                <a:schemeClr val="tx1">
                  <a:lumMod val="65000"/>
                  <a:lumOff val="35000"/>
                </a:schemeClr>
              </a:solidFill>
              <a:latin typeface="+mj-lt"/>
              <a:ea typeface="+mj-ea"/>
              <a:cs typeface="+mj-cs"/>
            </a:defRPr>
          </a:pPr>
          <a:endParaRPr lang="en-US"/>
        </a:p>
      </c:txPr>
    </c:title>
    <c:autoTitleDeleted val="0"/>
    <c:plotArea>
      <c:layout/>
      <c:barChart>
        <c:barDir val="col"/>
        <c:grouping val="clustered"/>
        <c:varyColors val="0"/>
        <c:ser>
          <c:idx val="1"/>
          <c:order val="1"/>
          <c:tx>
            <c:v>Emissions</c:v>
          </c:tx>
          <c:spPr>
            <a:solidFill>
              <a:schemeClr val="accent5"/>
            </a:solidFill>
            <a:ln>
              <a:noFill/>
            </a:ln>
            <a:effectLst/>
          </c:spPr>
          <c:invertIfNegative val="0"/>
          <c:cat>
            <c:numRef>
              <c:f>Energy!$D$15:$I$15</c:f>
              <c:numCache>
                <c:formatCode>General</c:formatCode>
                <c:ptCount val="6"/>
                <c:pt idx="0">
                  <c:v>2017</c:v>
                </c:pt>
                <c:pt idx="1">
                  <c:v>2018</c:v>
                </c:pt>
                <c:pt idx="2">
                  <c:v>2019</c:v>
                </c:pt>
                <c:pt idx="3">
                  <c:v>2020</c:v>
                </c:pt>
                <c:pt idx="4">
                  <c:v>2021</c:v>
                </c:pt>
                <c:pt idx="5">
                  <c:v>2022</c:v>
                </c:pt>
              </c:numCache>
            </c:numRef>
          </c:cat>
          <c:val>
            <c:numRef>
              <c:f>Energy!$D$28:$I$28</c:f>
              <c:numCache>
                <c:formatCode>_(* #,##0.00_);_(* \(#,##0.00\);_(* "-"??_);_(@_)</c:formatCode>
                <c:ptCount val="6"/>
                <c:pt idx="0">
                  <c:v>1839.05836</c:v>
                </c:pt>
                <c:pt idx="1">
                  <c:v>2079.2661604999998</c:v>
                </c:pt>
                <c:pt idx="2">
                  <c:v>1999.437596</c:v>
                </c:pt>
                <c:pt idx="3">
                  <c:v>0</c:v>
                </c:pt>
                <c:pt idx="4">
                  <c:v>0</c:v>
                </c:pt>
                <c:pt idx="5">
                  <c:v>0</c:v>
                </c:pt>
              </c:numCache>
            </c:numRef>
          </c:val>
          <c:extLst>
            <c:ext xmlns:c16="http://schemas.microsoft.com/office/drawing/2014/chart" uri="{C3380CC4-5D6E-409C-BE32-E72D297353CC}">
              <c16:uniqueId val="{00000008-0EA3-4C8A-B79E-38EA824BF70C}"/>
            </c:ext>
          </c:extLst>
        </c:ser>
        <c:dLbls>
          <c:showLegendKey val="0"/>
          <c:showVal val="0"/>
          <c:showCatName val="0"/>
          <c:showSerName val="0"/>
          <c:showPercent val="0"/>
          <c:showBubbleSize val="0"/>
        </c:dLbls>
        <c:gapWidth val="75"/>
        <c:axId val="488553880"/>
        <c:axId val="488551256"/>
      </c:barChart>
      <c:lineChart>
        <c:grouping val="standard"/>
        <c:varyColors val="0"/>
        <c:ser>
          <c:idx val="0"/>
          <c:order val="0"/>
          <c:tx>
            <c:v>Electricity Consumption</c:v>
          </c:tx>
          <c:spPr>
            <a:ln w="38100" cap="rnd">
              <a:solidFill>
                <a:schemeClr val="accent6"/>
              </a:solidFill>
              <a:round/>
            </a:ln>
            <a:effectLst/>
          </c:spPr>
          <c:marker>
            <c:symbol val="circle"/>
            <c:size val="8"/>
            <c:spPr>
              <a:solidFill>
                <a:schemeClr val="accent6"/>
              </a:solidFill>
              <a:ln>
                <a:noFill/>
              </a:ln>
              <a:effectLst/>
            </c:spPr>
          </c:marker>
          <c:cat>
            <c:numRef>
              <c:f>Energy!$D$15:$I$15</c:f>
              <c:numCache>
                <c:formatCode>General</c:formatCode>
                <c:ptCount val="6"/>
                <c:pt idx="0">
                  <c:v>2017</c:v>
                </c:pt>
                <c:pt idx="1">
                  <c:v>2018</c:v>
                </c:pt>
                <c:pt idx="2">
                  <c:v>2019</c:v>
                </c:pt>
                <c:pt idx="3">
                  <c:v>2020</c:v>
                </c:pt>
                <c:pt idx="4">
                  <c:v>2021</c:v>
                </c:pt>
                <c:pt idx="5">
                  <c:v>2022</c:v>
                </c:pt>
              </c:numCache>
            </c:numRef>
          </c:cat>
          <c:val>
            <c:numRef>
              <c:f>Energy!$D$27:$I$27</c:f>
              <c:numCache>
                <c:formatCode>_(* #,##0.00_);_(* \(#,##0.00\);_(* "-"??_);_(@_)</c:formatCode>
                <c:ptCount val="6"/>
                <c:pt idx="0">
                  <c:v>2649.94</c:v>
                </c:pt>
                <c:pt idx="1">
                  <c:v>2996.0607500000001</c:v>
                </c:pt>
                <c:pt idx="2">
                  <c:v>2881.0340000000001</c:v>
                </c:pt>
                <c:pt idx="3">
                  <c:v>0</c:v>
                </c:pt>
                <c:pt idx="4">
                  <c:v>0</c:v>
                </c:pt>
                <c:pt idx="5">
                  <c:v>0</c:v>
                </c:pt>
              </c:numCache>
            </c:numRef>
          </c:val>
          <c:smooth val="0"/>
          <c:extLst>
            <c:ext xmlns:c16="http://schemas.microsoft.com/office/drawing/2014/chart" uri="{C3380CC4-5D6E-409C-BE32-E72D297353CC}">
              <c16:uniqueId val="{00000007-0EA3-4C8A-B79E-38EA824BF70C}"/>
            </c:ext>
          </c:extLst>
        </c:ser>
        <c:dLbls>
          <c:showLegendKey val="0"/>
          <c:showVal val="0"/>
          <c:showCatName val="0"/>
          <c:showSerName val="0"/>
          <c:showPercent val="0"/>
          <c:showBubbleSize val="0"/>
        </c:dLbls>
        <c:marker val="1"/>
        <c:smooth val="0"/>
        <c:axId val="488562080"/>
        <c:axId val="488558144"/>
      </c:lineChart>
      <c:valAx>
        <c:axId val="4885512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700" b="0" i="0" u="none" strike="noStrike" kern="1200" cap="none" baseline="0">
                    <a:solidFill>
                      <a:schemeClr val="tx1">
                        <a:lumMod val="65000"/>
                        <a:lumOff val="35000"/>
                      </a:schemeClr>
                    </a:solidFill>
                    <a:latin typeface="+mn-lt"/>
                    <a:ea typeface="+mn-ea"/>
                    <a:cs typeface="+mn-cs"/>
                  </a:defRPr>
                </a:pPr>
                <a:r>
                  <a:rPr lang="en-MY" sz="700" cap="none" baseline="0"/>
                  <a:t>ANNUAL GHG EMISSIONS (t CO2e)</a:t>
                </a:r>
              </a:p>
            </c:rich>
          </c:tx>
          <c:layout>
            <c:manualLayout>
              <c:xMode val="edge"/>
              <c:yMode val="edge"/>
              <c:x val="1.9795224207325098E-2"/>
              <c:y val="0.18678558665353406"/>
            </c:manualLayout>
          </c:layout>
          <c:overlay val="0"/>
          <c:spPr>
            <a:noFill/>
            <a:ln>
              <a:noFill/>
            </a:ln>
            <a:effectLst/>
          </c:spPr>
          <c:txPr>
            <a:bodyPr rot="-5400000" spcFirstLastPara="1" vertOverflow="ellipsis" vert="horz" wrap="square" anchor="ctr" anchorCtr="1"/>
            <a:lstStyle/>
            <a:p>
              <a:pPr>
                <a:defRPr sz="700" b="0" i="0" u="none" strike="noStrike" kern="1200" cap="none"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8553880"/>
        <c:crosses val="autoZero"/>
        <c:crossBetween val="between"/>
      </c:valAx>
      <c:catAx>
        <c:axId val="488553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en-US"/>
          </a:p>
        </c:txPr>
        <c:crossAx val="488551256"/>
        <c:crosses val="autoZero"/>
        <c:auto val="1"/>
        <c:lblAlgn val="ctr"/>
        <c:lblOffset val="100"/>
        <c:noMultiLvlLbl val="0"/>
      </c:catAx>
      <c:valAx>
        <c:axId val="488558144"/>
        <c:scaling>
          <c:orientation val="minMax"/>
        </c:scaling>
        <c:delete val="0"/>
        <c:axPos val="r"/>
        <c:title>
          <c:tx>
            <c:rich>
              <a:bodyPr rot="-5400000" spcFirstLastPara="1" vertOverflow="ellipsis" vert="horz" wrap="square" anchor="ctr" anchorCtr="1"/>
              <a:lstStyle/>
              <a:p>
                <a:pPr>
                  <a:defRPr sz="700" b="0" i="0" u="none" strike="noStrike" kern="1200" cap="all" baseline="0">
                    <a:solidFill>
                      <a:schemeClr val="tx1">
                        <a:lumMod val="65000"/>
                        <a:lumOff val="35000"/>
                      </a:schemeClr>
                    </a:solidFill>
                    <a:latin typeface="+mn-lt"/>
                    <a:ea typeface="+mn-ea"/>
                    <a:cs typeface="+mn-cs"/>
                  </a:defRPr>
                </a:pPr>
                <a:r>
                  <a:rPr lang="en-MY" sz="700" cap="none" baseline="0"/>
                  <a:t>ANNUAL ELECTRICITY CONSMUPTION (MWh)</a:t>
                </a:r>
              </a:p>
            </c:rich>
          </c:tx>
          <c:layout>
            <c:manualLayout>
              <c:xMode val="edge"/>
              <c:yMode val="edge"/>
              <c:x val="0.95921075419284674"/>
              <c:y val="9.647293139365623E-2"/>
            </c:manualLayout>
          </c:layout>
          <c:overlay val="0"/>
          <c:spPr>
            <a:noFill/>
            <a:ln>
              <a:noFill/>
            </a:ln>
            <a:effectLst/>
          </c:spPr>
          <c:txPr>
            <a:bodyPr rot="-5400000" spcFirstLastPara="1" vertOverflow="ellipsis" vert="horz" wrap="square" anchor="ctr" anchorCtr="1"/>
            <a:lstStyle/>
            <a:p>
              <a:pPr>
                <a:defRPr sz="700" b="0" i="0" u="none" strike="noStrike" kern="1200" cap="all" baseline="0">
                  <a:solidFill>
                    <a:schemeClr val="tx1">
                      <a:lumMod val="65000"/>
                      <a:lumOff val="35000"/>
                    </a:schemeClr>
                  </a:solidFill>
                  <a:latin typeface="+mn-lt"/>
                  <a:ea typeface="+mn-ea"/>
                  <a:cs typeface="+mn-cs"/>
                </a:defRPr>
              </a:pPr>
              <a:endParaRPr lang="en-US"/>
            </a:p>
          </c:txPr>
        </c:title>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8562080"/>
        <c:crosses val="max"/>
        <c:crossBetween val="between"/>
      </c:valAx>
      <c:catAx>
        <c:axId val="488562080"/>
        <c:scaling>
          <c:orientation val="minMax"/>
        </c:scaling>
        <c:delete val="1"/>
        <c:axPos val="b"/>
        <c:numFmt formatCode="General" sourceLinked="1"/>
        <c:majorTickMark val="out"/>
        <c:minorTickMark val="none"/>
        <c:tickLblPos val="nextTo"/>
        <c:crossAx val="48855814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2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75000"/>
            <a:lumOff val="25000"/>
          </a:schemeClr>
        </a:solidFill>
      </a:ln>
    </cs:spPr>
  </cs:downBar>
  <cs:dropLine>
    <cs:lnRef idx="0"/>
    <cs:fillRef idx="0"/>
    <cs:effectRef idx="0"/>
    <cs:fontRef idx="minor">
      <a:schemeClr val="dk1"/>
    </cs:fontRef>
    <cs:spPr>
      <a:ln w="9525">
        <a:solidFill>
          <a:schemeClr val="tx1">
            <a:lumMod val="75000"/>
            <a:lumOff val="25000"/>
          </a:schemeClr>
        </a:solidFill>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75000"/>
            <a:lumOff val="2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32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75000"/>
            <a:lumOff val="25000"/>
          </a:schemeClr>
        </a:solidFill>
      </a:ln>
    </cs:spPr>
  </cs:downBar>
  <cs:dropLine>
    <cs:lnRef idx="0"/>
    <cs:fillRef idx="0"/>
    <cs:effectRef idx="0"/>
    <cs:fontRef idx="minor">
      <a:schemeClr val="dk1"/>
    </cs:fontRef>
    <cs:spPr>
      <a:ln w="9525">
        <a:solidFill>
          <a:schemeClr val="tx1">
            <a:lumMod val="75000"/>
            <a:lumOff val="25000"/>
          </a:schemeClr>
        </a:solidFill>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75000"/>
            <a:lumOff val="2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32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75000"/>
            <a:lumOff val="25000"/>
          </a:schemeClr>
        </a:solidFill>
      </a:ln>
    </cs:spPr>
  </cs:downBar>
  <cs:dropLine>
    <cs:lnRef idx="0"/>
    <cs:fillRef idx="0"/>
    <cs:effectRef idx="0"/>
    <cs:fontRef idx="minor">
      <a:schemeClr val="dk1"/>
    </cs:fontRef>
    <cs:spPr>
      <a:ln w="9525">
        <a:solidFill>
          <a:schemeClr val="tx1">
            <a:lumMod val="75000"/>
            <a:lumOff val="25000"/>
          </a:schemeClr>
        </a:solidFill>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75000"/>
            <a:lumOff val="2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32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75000"/>
            <a:lumOff val="25000"/>
          </a:schemeClr>
        </a:solidFill>
      </a:ln>
    </cs:spPr>
  </cs:downBar>
  <cs:dropLine>
    <cs:lnRef idx="0"/>
    <cs:fillRef idx="0"/>
    <cs:effectRef idx="0"/>
    <cs:fontRef idx="minor">
      <a:schemeClr val="dk1"/>
    </cs:fontRef>
    <cs:spPr>
      <a:ln w="9525">
        <a:solidFill>
          <a:schemeClr val="tx1">
            <a:lumMod val="75000"/>
            <a:lumOff val="25000"/>
          </a:schemeClr>
        </a:solidFill>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75000"/>
            <a:lumOff val="2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0</xdr:col>
      <xdr:colOff>276225</xdr:colOff>
      <xdr:row>0</xdr:row>
      <xdr:rowOff>104775</xdr:rowOff>
    </xdr:from>
    <xdr:to>
      <xdr:col>1</xdr:col>
      <xdr:colOff>400050</xdr:colOff>
      <xdr:row>2</xdr:row>
      <xdr:rowOff>123825</xdr:rowOff>
    </xdr:to>
    <xdr:pic>
      <xdr:nvPicPr>
        <xdr:cNvPr id="2" name="Pictur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104775"/>
          <a:ext cx="81915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489857</xdr:colOff>
      <xdr:row>29</xdr:row>
      <xdr:rowOff>14286</xdr:rowOff>
    </xdr:from>
    <xdr:to>
      <xdr:col>17</xdr:col>
      <xdr:colOff>136071</xdr:colOff>
      <xdr:row>49</xdr:row>
      <xdr:rowOff>0</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50</xdr:row>
      <xdr:rowOff>0</xdr:rowOff>
    </xdr:from>
    <xdr:to>
      <xdr:col>17</xdr:col>
      <xdr:colOff>340179</xdr:colOff>
      <xdr:row>69</xdr:row>
      <xdr:rowOff>176214</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106</xdr:row>
      <xdr:rowOff>0</xdr:rowOff>
    </xdr:from>
    <xdr:to>
      <xdr:col>8</xdr:col>
      <xdr:colOff>590550</xdr:colOff>
      <xdr:row>119</xdr:row>
      <xdr:rowOff>180975</xdr:rowOff>
    </xdr:to>
    <xdr:graphicFrame macro="">
      <xdr:nvGraphicFramePr>
        <xdr:cNvPr id="2" name="Chart 1">
          <a:extLst>
            <a:ext uri="{FF2B5EF4-FFF2-40B4-BE49-F238E27FC236}">
              <a16:creationId xmlns:a16="http://schemas.microsoft.com/office/drawing/2014/main" id="{9053F578-A2F2-4FE8-BDF0-A79B6B6A68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89647</xdr:colOff>
      <xdr:row>32</xdr:row>
      <xdr:rowOff>1681</xdr:rowOff>
    </xdr:from>
    <xdr:to>
      <xdr:col>8</xdr:col>
      <xdr:colOff>711573</xdr:colOff>
      <xdr:row>43</xdr:row>
      <xdr:rowOff>179295</xdr:rowOff>
    </xdr:to>
    <xdr:graphicFrame macro="">
      <xdr:nvGraphicFramePr>
        <xdr:cNvPr id="5" name="Chart 4">
          <a:extLst>
            <a:ext uri="{FF2B5EF4-FFF2-40B4-BE49-F238E27FC236}">
              <a16:creationId xmlns:a16="http://schemas.microsoft.com/office/drawing/2014/main" id="{33850592-1E0B-42AF-84E7-90E41D5C64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100853</xdr:colOff>
      <xdr:row>44</xdr:row>
      <xdr:rowOff>123265</xdr:rowOff>
    </xdr:from>
    <xdr:to>
      <xdr:col>8</xdr:col>
      <xdr:colOff>672353</xdr:colOff>
      <xdr:row>51</xdr:row>
      <xdr:rowOff>100853</xdr:rowOff>
    </xdr:to>
    <xdr:grpSp>
      <xdr:nvGrpSpPr>
        <xdr:cNvPr id="23" name="Group 22">
          <a:extLst>
            <a:ext uri="{FF2B5EF4-FFF2-40B4-BE49-F238E27FC236}">
              <a16:creationId xmlns:a16="http://schemas.microsoft.com/office/drawing/2014/main" id="{48F048E6-EC44-4CE9-A36F-2CE3D00540BF}"/>
            </a:ext>
          </a:extLst>
        </xdr:cNvPr>
        <xdr:cNvGrpSpPr/>
      </xdr:nvGrpSpPr>
      <xdr:grpSpPr>
        <a:xfrm>
          <a:off x="100853" y="8191500"/>
          <a:ext cx="6645088" cy="1311088"/>
          <a:chOff x="63500" y="7639050"/>
          <a:chExt cx="6432550" cy="1301750"/>
        </a:xfrm>
      </xdr:grpSpPr>
      <xdr:grpSp>
        <xdr:nvGrpSpPr>
          <xdr:cNvPr id="24" name="Group 23">
            <a:extLst>
              <a:ext uri="{FF2B5EF4-FFF2-40B4-BE49-F238E27FC236}">
                <a16:creationId xmlns:a16="http://schemas.microsoft.com/office/drawing/2014/main" id="{F1633FE3-09F2-4BB8-8EFC-4EB5D0ED48C0}"/>
              </a:ext>
            </a:extLst>
          </xdr:cNvPr>
          <xdr:cNvGrpSpPr/>
        </xdr:nvGrpSpPr>
        <xdr:grpSpPr>
          <a:xfrm>
            <a:off x="63500" y="7639050"/>
            <a:ext cx="6432550" cy="1079500"/>
            <a:chOff x="63500" y="7639050"/>
            <a:chExt cx="6432550" cy="1079500"/>
          </a:xfrm>
        </xdr:grpSpPr>
        <xdr:grpSp>
          <xdr:nvGrpSpPr>
            <xdr:cNvPr id="29" name="Group 28">
              <a:extLst>
                <a:ext uri="{FF2B5EF4-FFF2-40B4-BE49-F238E27FC236}">
                  <a16:creationId xmlns:a16="http://schemas.microsoft.com/office/drawing/2014/main" id="{D8B0F1F9-7C0E-4CD8-BEF3-533782ED1D39}"/>
                </a:ext>
              </a:extLst>
            </xdr:cNvPr>
            <xdr:cNvGrpSpPr/>
          </xdr:nvGrpSpPr>
          <xdr:grpSpPr>
            <a:xfrm>
              <a:off x="63500" y="7639050"/>
              <a:ext cx="6432550" cy="857250"/>
              <a:chOff x="50800" y="8020050"/>
              <a:chExt cx="6432550" cy="857250"/>
            </a:xfrm>
          </xdr:grpSpPr>
          <xdr:grpSp>
            <xdr:nvGrpSpPr>
              <xdr:cNvPr id="34" name="Group 33">
                <a:extLst>
                  <a:ext uri="{FF2B5EF4-FFF2-40B4-BE49-F238E27FC236}">
                    <a16:creationId xmlns:a16="http://schemas.microsoft.com/office/drawing/2014/main" id="{50735260-BCF3-4990-8738-84364316199C}"/>
                  </a:ext>
                </a:extLst>
              </xdr:cNvPr>
              <xdr:cNvGrpSpPr/>
            </xdr:nvGrpSpPr>
            <xdr:grpSpPr>
              <a:xfrm>
                <a:off x="50800" y="8020050"/>
                <a:ext cx="6432550" cy="228600"/>
                <a:chOff x="50800" y="8020050"/>
                <a:chExt cx="6432550" cy="228600"/>
              </a:xfrm>
            </xdr:grpSpPr>
            <xdr:sp macro="" textlink="">
              <xdr:nvSpPr>
                <xdr:cNvPr id="39" name="Rectangle 38">
                  <a:extLst>
                    <a:ext uri="{FF2B5EF4-FFF2-40B4-BE49-F238E27FC236}">
                      <a16:creationId xmlns:a16="http://schemas.microsoft.com/office/drawing/2014/main" id="{5CED6751-1267-407C-A076-163408EC8A06}"/>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n-MY">
                      <a:solidFill>
                        <a:sysClr val="windowText" lastClr="000000"/>
                      </a:solidFill>
                    </a:rPr>
                    <a:t>FACILITATOR</a:t>
                  </a:r>
                </a:p>
              </xdr:txBody>
            </xdr:sp>
            <xdr:sp macro="" textlink="">
              <xdr:nvSpPr>
                <xdr:cNvPr id="40" name="Rectangle 39">
                  <a:extLst>
                    <a:ext uri="{FF2B5EF4-FFF2-40B4-BE49-F238E27FC236}">
                      <a16:creationId xmlns:a16="http://schemas.microsoft.com/office/drawing/2014/main" id="{874C1DCE-0D86-46DE-8E06-49FD66217383}"/>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n-MY">
                      <a:solidFill>
                        <a:sysClr val="windowText" lastClr="000000"/>
                      </a:solidFill>
                    </a:rPr>
                    <a:t>PROJECT OWNER</a:t>
                  </a:r>
                </a:p>
              </xdr:txBody>
            </xdr:sp>
            <xdr:sp macro="" textlink="">
              <xdr:nvSpPr>
                <xdr:cNvPr id="41" name="Rectangle 40">
                  <a:extLst>
                    <a:ext uri="{FF2B5EF4-FFF2-40B4-BE49-F238E27FC236}">
                      <a16:creationId xmlns:a16="http://schemas.microsoft.com/office/drawing/2014/main" id="{BCCE609F-E54A-4D85-8810-A4994D4E6E5A}"/>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n-MY">
                      <a:solidFill>
                        <a:sysClr val="windowText" lastClr="000000"/>
                      </a:solidFill>
                    </a:rPr>
                    <a:t>AUDITOR</a:t>
                  </a:r>
                </a:p>
              </xdr:txBody>
            </xdr:sp>
          </xdr:grpSp>
          <xdr:grpSp>
            <xdr:nvGrpSpPr>
              <xdr:cNvPr id="35" name="Group 34">
                <a:extLst>
                  <a:ext uri="{FF2B5EF4-FFF2-40B4-BE49-F238E27FC236}">
                    <a16:creationId xmlns:a16="http://schemas.microsoft.com/office/drawing/2014/main" id="{AD97F220-A413-4174-8328-770F8B00A75D}"/>
                  </a:ext>
                </a:extLst>
              </xdr:cNvPr>
              <xdr:cNvGrpSpPr/>
            </xdr:nvGrpSpPr>
            <xdr:grpSpPr>
              <a:xfrm>
                <a:off x="50800" y="8248650"/>
                <a:ext cx="6432550" cy="628650"/>
                <a:chOff x="50800" y="8020050"/>
                <a:chExt cx="6432550" cy="228600"/>
              </a:xfrm>
            </xdr:grpSpPr>
            <xdr:sp macro="" textlink="">
              <xdr:nvSpPr>
                <xdr:cNvPr id="36" name="Rectangle 35">
                  <a:extLst>
                    <a:ext uri="{FF2B5EF4-FFF2-40B4-BE49-F238E27FC236}">
                      <a16:creationId xmlns:a16="http://schemas.microsoft.com/office/drawing/2014/main" id="{74DA6CA1-AAC5-4FAC-9335-36EEA22F4338}"/>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en-MY">
                    <a:solidFill>
                      <a:sysClr val="windowText" lastClr="000000"/>
                    </a:solidFill>
                  </a:endParaRPr>
                </a:p>
              </xdr:txBody>
            </xdr:sp>
            <xdr:sp macro="" textlink="">
              <xdr:nvSpPr>
                <xdr:cNvPr id="37" name="Rectangle 36">
                  <a:extLst>
                    <a:ext uri="{FF2B5EF4-FFF2-40B4-BE49-F238E27FC236}">
                      <a16:creationId xmlns:a16="http://schemas.microsoft.com/office/drawing/2014/main" id="{DEBBE9AE-F8C7-4F3C-8F32-690BCA0E4318}"/>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en-MY">
                    <a:solidFill>
                      <a:sysClr val="windowText" lastClr="000000"/>
                    </a:solidFill>
                  </a:endParaRPr>
                </a:p>
              </xdr:txBody>
            </xdr:sp>
            <xdr:sp macro="" textlink="">
              <xdr:nvSpPr>
                <xdr:cNvPr id="38" name="Rectangle 37">
                  <a:extLst>
                    <a:ext uri="{FF2B5EF4-FFF2-40B4-BE49-F238E27FC236}">
                      <a16:creationId xmlns:a16="http://schemas.microsoft.com/office/drawing/2014/main" id="{410C432D-733D-464A-AD02-867B5268A29F}"/>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en-MY">
                    <a:solidFill>
                      <a:sysClr val="windowText" lastClr="000000"/>
                    </a:solidFill>
                  </a:endParaRPr>
                </a:p>
              </xdr:txBody>
            </xdr:sp>
          </xdr:grpSp>
        </xdr:grpSp>
        <xdr:grpSp>
          <xdr:nvGrpSpPr>
            <xdr:cNvPr id="30" name="Group 29">
              <a:extLst>
                <a:ext uri="{FF2B5EF4-FFF2-40B4-BE49-F238E27FC236}">
                  <a16:creationId xmlns:a16="http://schemas.microsoft.com/office/drawing/2014/main" id="{13E1853A-B71E-4DAD-BA0C-ECF06F829433}"/>
                </a:ext>
              </a:extLst>
            </xdr:cNvPr>
            <xdr:cNvGrpSpPr/>
          </xdr:nvGrpSpPr>
          <xdr:grpSpPr>
            <a:xfrm>
              <a:off x="63500" y="8489950"/>
              <a:ext cx="6432550" cy="228600"/>
              <a:chOff x="50800" y="8020050"/>
              <a:chExt cx="6432550" cy="228600"/>
            </a:xfrm>
          </xdr:grpSpPr>
          <xdr:sp macro="" textlink="">
            <xdr:nvSpPr>
              <xdr:cNvPr id="31" name="Rectangle 30">
                <a:extLst>
                  <a:ext uri="{FF2B5EF4-FFF2-40B4-BE49-F238E27FC236}">
                    <a16:creationId xmlns:a16="http://schemas.microsoft.com/office/drawing/2014/main" id="{40F3C333-4331-4100-B4FE-0E5B7D2B0CF2}"/>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Name:</a:t>
                </a:r>
              </a:p>
            </xdr:txBody>
          </xdr:sp>
          <xdr:sp macro="" textlink="">
            <xdr:nvSpPr>
              <xdr:cNvPr id="32" name="Rectangle 31">
                <a:extLst>
                  <a:ext uri="{FF2B5EF4-FFF2-40B4-BE49-F238E27FC236}">
                    <a16:creationId xmlns:a16="http://schemas.microsoft.com/office/drawing/2014/main" id="{1F9815A9-2207-4185-B35B-5D6B2C9812BC}"/>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Name:</a:t>
                </a:r>
              </a:p>
            </xdr:txBody>
          </xdr:sp>
          <xdr:sp macro="" textlink="">
            <xdr:nvSpPr>
              <xdr:cNvPr id="33" name="Rectangle 32">
                <a:extLst>
                  <a:ext uri="{FF2B5EF4-FFF2-40B4-BE49-F238E27FC236}">
                    <a16:creationId xmlns:a16="http://schemas.microsoft.com/office/drawing/2014/main" id="{6B3D4807-6DCD-4412-9731-36DE1E0E551E}"/>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Name:</a:t>
                </a:r>
              </a:p>
            </xdr:txBody>
          </xdr:sp>
        </xdr:grpSp>
      </xdr:grpSp>
      <xdr:grpSp>
        <xdr:nvGrpSpPr>
          <xdr:cNvPr id="25" name="Group 24">
            <a:extLst>
              <a:ext uri="{FF2B5EF4-FFF2-40B4-BE49-F238E27FC236}">
                <a16:creationId xmlns:a16="http://schemas.microsoft.com/office/drawing/2014/main" id="{BBF026F9-9D83-413C-851E-36209564C6D0}"/>
              </a:ext>
            </a:extLst>
          </xdr:cNvPr>
          <xdr:cNvGrpSpPr/>
        </xdr:nvGrpSpPr>
        <xdr:grpSpPr>
          <a:xfrm>
            <a:off x="63500" y="8718550"/>
            <a:ext cx="6432550" cy="222250"/>
            <a:chOff x="50800" y="8020050"/>
            <a:chExt cx="6432550" cy="228600"/>
          </a:xfrm>
        </xdr:grpSpPr>
        <xdr:sp macro="" textlink="">
          <xdr:nvSpPr>
            <xdr:cNvPr id="26" name="Rectangle 25">
              <a:extLst>
                <a:ext uri="{FF2B5EF4-FFF2-40B4-BE49-F238E27FC236}">
                  <a16:creationId xmlns:a16="http://schemas.microsoft.com/office/drawing/2014/main" id="{23CFA2F0-0E4C-439D-A4CE-968D62E27DF5}"/>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Date:</a:t>
              </a:r>
            </a:p>
          </xdr:txBody>
        </xdr:sp>
        <xdr:sp macro="" textlink="">
          <xdr:nvSpPr>
            <xdr:cNvPr id="27" name="Rectangle 26">
              <a:extLst>
                <a:ext uri="{FF2B5EF4-FFF2-40B4-BE49-F238E27FC236}">
                  <a16:creationId xmlns:a16="http://schemas.microsoft.com/office/drawing/2014/main" id="{76BF99B0-EF18-4691-B3B5-616659E51FC8}"/>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Date:</a:t>
              </a:r>
            </a:p>
          </xdr:txBody>
        </xdr:sp>
        <xdr:sp macro="" textlink="">
          <xdr:nvSpPr>
            <xdr:cNvPr id="28" name="Rectangle 27">
              <a:extLst>
                <a:ext uri="{FF2B5EF4-FFF2-40B4-BE49-F238E27FC236}">
                  <a16:creationId xmlns:a16="http://schemas.microsoft.com/office/drawing/2014/main" id="{C0D83AD1-7997-4390-9E3B-0D23B399D836}"/>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Date:</a:t>
              </a:r>
            </a:p>
          </xdr:txBody>
        </xdr:sp>
      </xdr:grp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118730</xdr:colOff>
      <xdr:row>65</xdr:row>
      <xdr:rowOff>100853</xdr:rowOff>
    </xdr:from>
    <xdr:to>
      <xdr:col>8</xdr:col>
      <xdr:colOff>709280</xdr:colOff>
      <xdr:row>80</xdr:row>
      <xdr:rowOff>122465</xdr:rowOff>
    </xdr:to>
    <xdr:graphicFrame macro="">
      <xdr:nvGraphicFramePr>
        <xdr:cNvPr id="3" name="Chart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56029</xdr:colOff>
      <xdr:row>81</xdr:row>
      <xdr:rowOff>89648</xdr:rowOff>
    </xdr:from>
    <xdr:to>
      <xdr:col>8</xdr:col>
      <xdr:colOff>1176617</xdr:colOff>
      <xdr:row>88</xdr:row>
      <xdr:rowOff>67236</xdr:rowOff>
    </xdr:to>
    <xdr:grpSp>
      <xdr:nvGrpSpPr>
        <xdr:cNvPr id="4" name="Group 3">
          <a:extLst>
            <a:ext uri="{FF2B5EF4-FFF2-40B4-BE49-F238E27FC236}">
              <a16:creationId xmlns:a16="http://schemas.microsoft.com/office/drawing/2014/main" id="{A562DDE1-0E2D-4620-8456-64D8D0F573BB}"/>
            </a:ext>
          </a:extLst>
        </xdr:cNvPr>
        <xdr:cNvGrpSpPr/>
      </xdr:nvGrpSpPr>
      <xdr:grpSpPr>
        <a:xfrm>
          <a:off x="56029" y="15800295"/>
          <a:ext cx="6834467" cy="1311088"/>
          <a:chOff x="63500" y="7639050"/>
          <a:chExt cx="6432550" cy="1301750"/>
        </a:xfrm>
      </xdr:grpSpPr>
      <xdr:grpSp>
        <xdr:nvGrpSpPr>
          <xdr:cNvPr id="5" name="Group 4">
            <a:extLst>
              <a:ext uri="{FF2B5EF4-FFF2-40B4-BE49-F238E27FC236}">
                <a16:creationId xmlns:a16="http://schemas.microsoft.com/office/drawing/2014/main" id="{339578C1-7807-4A6C-8FFC-291B9A57EC53}"/>
              </a:ext>
            </a:extLst>
          </xdr:cNvPr>
          <xdr:cNvGrpSpPr/>
        </xdr:nvGrpSpPr>
        <xdr:grpSpPr>
          <a:xfrm>
            <a:off x="63500" y="7639050"/>
            <a:ext cx="6432550" cy="1079500"/>
            <a:chOff x="63500" y="7639050"/>
            <a:chExt cx="6432550" cy="1079500"/>
          </a:xfrm>
        </xdr:grpSpPr>
        <xdr:grpSp>
          <xdr:nvGrpSpPr>
            <xdr:cNvPr id="10" name="Group 9">
              <a:extLst>
                <a:ext uri="{FF2B5EF4-FFF2-40B4-BE49-F238E27FC236}">
                  <a16:creationId xmlns:a16="http://schemas.microsoft.com/office/drawing/2014/main" id="{9D9048A7-42BC-4359-B4C8-C1E55C829702}"/>
                </a:ext>
              </a:extLst>
            </xdr:cNvPr>
            <xdr:cNvGrpSpPr/>
          </xdr:nvGrpSpPr>
          <xdr:grpSpPr>
            <a:xfrm>
              <a:off x="63500" y="7639050"/>
              <a:ext cx="6432550" cy="857250"/>
              <a:chOff x="50800" y="8020050"/>
              <a:chExt cx="6432550" cy="857250"/>
            </a:xfrm>
          </xdr:grpSpPr>
          <xdr:grpSp>
            <xdr:nvGrpSpPr>
              <xdr:cNvPr id="15" name="Group 14">
                <a:extLst>
                  <a:ext uri="{FF2B5EF4-FFF2-40B4-BE49-F238E27FC236}">
                    <a16:creationId xmlns:a16="http://schemas.microsoft.com/office/drawing/2014/main" id="{28FA6AA6-571B-4F94-8F83-F6761751EE9A}"/>
                  </a:ext>
                </a:extLst>
              </xdr:cNvPr>
              <xdr:cNvGrpSpPr/>
            </xdr:nvGrpSpPr>
            <xdr:grpSpPr>
              <a:xfrm>
                <a:off x="50800" y="8020050"/>
                <a:ext cx="6432550" cy="228600"/>
                <a:chOff x="50800" y="8020050"/>
                <a:chExt cx="6432550" cy="228600"/>
              </a:xfrm>
            </xdr:grpSpPr>
            <xdr:sp macro="" textlink="">
              <xdr:nvSpPr>
                <xdr:cNvPr id="20" name="Rectangle 19">
                  <a:extLst>
                    <a:ext uri="{FF2B5EF4-FFF2-40B4-BE49-F238E27FC236}">
                      <a16:creationId xmlns:a16="http://schemas.microsoft.com/office/drawing/2014/main" id="{39221CC3-F4EA-4CDC-A560-90F3A9A99055}"/>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n-MY">
                      <a:solidFill>
                        <a:sysClr val="windowText" lastClr="000000"/>
                      </a:solidFill>
                    </a:rPr>
                    <a:t>FACILITATOR</a:t>
                  </a:r>
                </a:p>
              </xdr:txBody>
            </xdr:sp>
            <xdr:sp macro="" textlink="">
              <xdr:nvSpPr>
                <xdr:cNvPr id="21" name="Rectangle 20">
                  <a:extLst>
                    <a:ext uri="{FF2B5EF4-FFF2-40B4-BE49-F238E27FC236}">
                      <a16:creationId xmlns:a16="http://schemas.microsoft.com/office/drawing/2014/main" id="{F8612756-07A4-43CB-8278-26FC162B4B58}"/>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n-MY">
                      <a:solidFill>
                        <a:sysClr val="windowText" lastClr="000000"/>
                      </a:solidFill>
                    </a:rPr>
                    <a:t>PROJECT OWNER</a:t>
                  </a:r>
                </a:p>
              </xdr:txBody>
            </xdr:sp>
            <xdr:sp macro="" textlink="">
              <xdr:nvSpPr>
                <xdr:cNvPr id="22" name="Rectangle 21">
                  <a:extLst>
                    <a:ext uri="{FF2B5EF4-FFF2-40B4-BE49-F238E27FC236}">
                      <a16:creationId xmlns:a16="http://schemas.microsoft.com/office/drawing/2014/main" id="{26D78F55-6130-4263-98CF-FC497C6FDAF4}"/>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n-MY">
                      <a:solidFill>
                        <a:sysClr val="windowText" lastClr="000000"/>
                      </a:solidFill>
                    </a:rPr>
                    <a:t>AUDITOR</a:t>
                  </a:r>
                </a:p>
              </xdr:txBody>
            </xdr:sp>
          </xdr:grpSp>
          <xdr:grpSp>
            <xdr:nvGrpSpPr>
              <xdr:cNvPr id="16" name="Group 15">
                <a:extLst>
                  <a:ext uri="{FF2B5EF4-FFF2-40B4-BE49-F238E27FC236}">
                    <a16:creationId xmlns:a16="http://schemas.microsoft.com/office/drawing/2014/main" id="{FE2CBA16-DE54-4669-BA66-DB58AD37D7C8}"/>
                  </a:ext>
                </a:extLst>
              </xdr:cNvPr>
              <xdr:cNvGrpSpPr/>
            </xdr:nvGrpSpPr>
            <xdr:grpSpPr>
              <a:xfrm>
                <a:off x="50800" y="8248650"/>
                <a:ext cx="6432550" cy="628650"/>
                <a:chOff x="50800" y="8020050"/>
                <a:chExt cx="6432550" cy="228600"/>
              </a:xfrm>
            </xdr:grpSpPr>
            <xdr:sp macro="" textlink="">
              <xdr:nvSpPr>
                <xdr:cNvPr id="17" name="Rectangle 16">
                  <a:extLst>
                    <a:ext uri="{FF2B5EF4-FFF2-40B4-BE49-F238E27FC236}">
                      <a16:creationId xmlns:a16="http://schemas.microsoft.com/office/drawing/2014/main" id="{908755F0-38AF-4A8E-9884-ED58A87D47CE}"/>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en-MY">
                    <a:solidFill>
                      <a:sysClr val="windowText" lastClr="000000"/>
                    </a:solidFill>
                  </a:endParaRPr>
                </a:p>
              </xdr:txBody>
            </xdr:sp>
            <xdr:sp macro="" textlink="">
              <xdr:nvSpPr>
                <xdr:cNvPr id="18" name="Rectangle 17">
                  <a:extLst>
                    <a:ext uri="{FF2B5EF4-FFF2-40B4-BE49-F238E27FC236}">
                      <a16:creationId xmlns:a16="http://schemas.microsoft.com/office/drawing/2014/main" id="{25544A3F-C339-42B0-8987-3EF513281AFD}"/>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en-MY">
                    <a:solidFill>
                      <a:sysClr val="windowText" lastClr="000000"/>
                    </a:solidFill>
                  </a:endParaRPr>
                </a:p>
              </xdr:txBody>
            </xdr:sp>
            <xdr:sp macro="" textlink="">
              <xdr:nvSpPr>
                <xdr:cNvPr id="19" name="Rectangle 18">
                  <a:extLst>
                    <a:ext uri="{FF2B5EF4-FFF2-40B4-BE49-F238E27FC236}">
                      <a16:creationId xmlns:a16="http://schemas.microsoft.com/office/drawing/2014/main" id="{982DBD2A-4F51-4FAA-A4AE-911C30EA6C2A}"/>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en-MY">
                    <a:solidFill>
                      <a:sysClr val="windowText" lastClr="000000"/>
                    </a:solidFill>
                  </a:endParaRPr>
                </a:p>
              </xdr:txBody>
            </xdr:sp>
          </xdr:grpSp>
        </xdr:grpSp>
        <xdr:grpSp>
          <xdr:nvGrpSpPr>
            <xdr:cNvPr id="11" name="Group 10">
              <a:extLst>
                <a:ext uri="{FF2B5EF4-FFF2-40B4-BE49-F238E27FC236}">
                  <a16:creationId xmlns:a16="http://schemas.microsoft.com/office/drawing/2014/main" id="{E9B43FFB-8598-4D8A-AEDA-B300D0ECFF44}"/>
                </a:ext>
              </a:extLst>
            </xdr:cNvPr>
            <xdr:cNvGrpSpPr/>
          </xdr:nvGrpSpPr>
          <xdr:grpSpPr>
            <a:xfrm>
              <a:off x="63500" y="8489950"/>
              <a:ext cx="6432550" cy="228600"/>
              <a:chOff x="50800" y="8020050"/>
              <a:chExt cx="6432550" cy="228600"/>
            </a:xfrm>
          </xdr:grpSpPr>
          <xdr:sp macro="" textlink="">
            <xdr:nvSpPr>
              <xdr:cNvPr id="12" name="Rectangle 11">
                <a:extLst>
                  <a:ext uri="{FF2B5EF4-FFF2-40B4-BE49-F238E27FC236}">
                    <a16:creationId xmlns:a16="http://schemas.microsoft.com/office/drawing/2014/main" id="{4EA43C84-D2A0-4533-A36C-706F3CC80193}"/>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Name:</a:t>
                </a:r>
              </a:p>
            </xdr:txBody>
          </xdr:sp>
          <xdr:sp macro="" textlink="">
            <xdr:nvSpPr>
              <xdr:cNvPr id="13" name="Rectangle 12">
                <a:extLst>
                  <a:ext uri="{FF2B5EF4-FFF2-40B4-BE49-F238E27FC236}">
                    <a16:creationId xmlns:a16="http://schemas.microsoft.com/office/drawing/2014/main" id="{5425FA6C-3604-42D2-AD82-44D052EF916A}"/>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Name:</a:t>
                </a:r>
              </a:p>
            </xdr:txBody>
          </xdr:sp>
          <xdr:sp macro="" textlink="">
            <xdr:nvSpPr>
              <xdr:cNvPr id="14" name="Rectangle 13">
                <a:extLst>
                  <a:ext uri="{FF2B5EF4-FFF2-40B4-BE49-F238E27FC236}">
                    <a16:creationId xmlns:a16="http://schemas.microsoft.com/office/drawing/2014/main" id="{237502A7-945D-4834-A58D-35C84DA54464}"/>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Name:</a:t>
                </a:r>
              </a:p>
            </xdr:txBody>
          </xdr:sp>
        </xdr:grpSp>
      </xdr:grpSp>
      <xdr:grpSp>
        <xdr:nvGrpSpPr>
          <xdr:cNvPr id="6" name="Group 5">
            <a:extLst>
              <a:ext uri="{FF2B5EF4-FFF2-40B4-BE49-F238E27FC236}">
                <a16:creationId xmlns:a16="http://schemas.microsoft.com/office/drawing/2014/main" id="{83DC41DB-525D-4A4F-BC4A-64020AFCF532}"/>
              </a:ext>
            </a:extLst>
          </xdr:cNvPr>
          <xdr:cNvGrpSpPr/>
        </xdr:nvGrpSpPr>
        <xdr:grpSpPr>
          <a:xfrm>
            <a:off x="63500" y="8718550"/>
            <a:ext cx="6432550" cy="222250"/>
            <a:chOff x="50800" y="8020050"/>
            <a:chExt cx="6432550" cy="228600"/>
          </a:xfrm>
        </xdr:grpSpPr>
        <xdr:sp macro="" textlink="">
          <xdr:nvSpPr>
            <xdr:cNvPr id="7" name="Rectangle 6">
              <a:extLst>
                <a:ext uri="{FF2B5EF4-FFF2-40B4-BE49-F238E27FC236}">
                  <a16:creationId xmlns:a16="http://schemas.microsoft.com/office/drawing/2014/main" id="{967ACB60-FC21-4862-9BCC-29FA091DF4AD}"/>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Date:</a:t>
              </a:r>
            </a:p>
          </xdr:txBody>
        </xdr:sp>
        <xdr:sp macro="" textlink="">
          <xdr:nvSpPr>
            <xdr:cNvPr id="8" name="Rectangle 7">
              <a:extLst>
                <a:ext uri="{FF2B5EF4-FFF2-40B4-BE49-F238E27FC236}">
                  <a16:creationId xmlns:a16="http://schemas.microsoft.com/office/drawing/2014/main" id="{C8B8E7A5-887A-4659-AAEE-5D29462BAC74}"/>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Date:</a:t>
              </a:r>
            </a:p>
          </xdr:txBody>
        </xdr:sp>
        <xdr:sp macro="" textlink="">
          <xdr:nvSpPr>
            <xdr:cNvPr id="9" name="Rectangle 8">
              <a:extLst>
                <a:ext uri="{FF2B5EF4-FFF2-40B4-BE49-F238E27FC236}">
                  <a16:creationId xmlns:a16="http://schemas.microsoft.com/office/drawing/2014/main" id="{848A5AA1-8B8F-4970-95D0-BFD24DE8E2FE}"/>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Date:</a:t>
              </a:r>
            </a:p>
          </xdr:txBody>
        </xdr:sp>
      </xdr:grp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89647</xdr:colOff>
      <xdr:row>192</xdr:row>
      <xdr:rowOff>112058</xdr:rowOff>
    </xdr:from>
    <xdr:to>
      <xdr:col>8</xdr:col>
      <xdr:colOff>593911</xdr:colOff>
      <xdr:row>199</xdr:row>
      <xdr:rowOff>89646</xdr:rowOff>
    </xdr:to>
    <xdr:grpSp>
      <xdr:nvGrpSpPr>
        <xdr:cNvPr id="2" name="Group 1">
          <a:extLst>
            <a:ext uri="{FF2B5EF4-FFF2-40B4-BE49-F238E27FC236}">
              <a16:creationId xmlns:a16="http://schemas.microsoft.com/office/drawing/2014/main" id="{87DEBCAE-2B75-4666-9AC2-5839C0150EAE}"/>
            </a:ext>
          </a:extLst>
        </xdr:cNvPr>
        <xdr:cNvGrpSpPr/>
      </xdr:nvGrpSpPr>
      <xdr:grpSpPr>
        <a:xfrm>
          <a:off x="89647" y="7911352"/>
          <a:ext cx="6689911" cy="1311088"/>
          <a:chOff x="63500" y="7639050"/>
          <a:chExt cx="6432550" cy="1301750"/>
        </a:xfrm>
      </xdr:grpSpPr>
      <xdr:grpSp>
        <xdr:nvGrpSpPr>
          <xdr:cNvPr id="3" name="Group 2">
            <a:extLst>
              <a:ext uri="{FF2B5EF4-FFF2-40B4-BE49-F238E27FC236}">
                <a16:creationId xmlns:a16="http://schemas.microsoft.com/office/drawing/2014/main" id="{92813484-C53B-4C13-A4F2-25678B0EC7F2}"/>
              </a:ext>
            </a:extLst>
          </xdr:cNvPr>
          <xdr:cNvGrpSpPr/>
        </xdr:nvGrpSpPr>
        <xdr:grpSpPr>
          <a:xfrm>
            <a:off x="63500" y="7639050"/>
            <a:ext cx="6432550" cy="1079500"/>
            <a:chOff x="63500" y="7639050"/>
            <a:chExt cx="6432550" cy="1079500"/>
          </a:xfrm>
        </xdr:grpSpPr>
        <xdr:grpSp>
          <xdr:nvGrpSpPr>
            <xdr:cNvPr id="8" name="Group 7">
              <a:extLst>
                <a:ext uri="{FF2B5EF4-FFF2-40B4-BE49-F238E27FC236}">
                  <a16:creationId xmlns:a16="http://schemas.microsoft.com/office/drawing/2014/main" id="{F52FE749-CF4B-4483-BE08-5684D8863869}"/>
                </a:ext>
              </a:extLst>
            </xdr:cNvPr>
            <xdr:cNvGrpSpPr/>
          </xdr:nvGrpSpPr>
          <xdr:grpSpPr>
            <a:xfrm>
              <a:off x="63500" y="7639050"/>
              <a:ext cx="6432550" cy="857250"/>
              <a:chOff x="50800" y="8020050"/>
              <a:chExt cx="6432550" cy="857250"/>
            </a:xfrm>
          </xdr:grpSpPr>
          <xdr:grpSp>
            <xdr:nvGrpSpPr>
              <xdr:cNvPr id="13" name="Group 12">
                <a:extLst>
                  <a:ext uri="{FF2B5EF4-FFF2-40B4-BE49-F238E27FC236}">
                    <a16:creationId xmlns:a16="http://schemas.microsoft.com/office/drawing/2014/main" id="{DDD7F13D-1A4B-4C2C-896A-48A0DF3CCF6E}"/>
                  </a:ext>
                </a:extLst>
              </xdr:cNvPr>
              <xdr:cNvGrpSpPr/>
            </xdr:nvGrpSpPr>
            <xdr:grpSpPr>
              <a:xfrm>
                <a:off x="50800" y="8020050"/>
                <a:ext cx="6432550" cy="228600"/>
                <a:chOff x="50800" y="8020050"/>
                <a:chExt cx="6432550" cy="228600"/>
              </a:xfrm>
            </xdr:grpSpPr>
            <xdr:sp macro="" textlink="">
              <xdr:nvSpPr>
                <xdr:cNvPr id="18" name="Rectangle 17">
                  <a:extLst>
                    <a:ext uri="{FF2B5EF4-FFF2-40B4-BE49-F238E27FC236}">
                      <a16:creationId xmlns:a16="http://schemas.microsoft.com/office/drawing/2014/main" id="{C36DF485-FDFC-44ED-B158-E6643AD0EBA7}"/>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n-MY">
                      <a:solidFill>
                        <a:sysClr val="windowText" lastClr="000000"/>
                      </a:solidFill>
                    </a:rPr>
                    <a:t>FACILITATOR</a:t>
                  </a:r>
                </a:p>
              </xdr:txBody>
            </xdr:sp>
            <xdr:sp macro="" textlink="">
              <xdr:nvSpPr>
                <xdr:cNvPr id="19" name="Rectangle 18">
                  <a:extLst>
                    <a:ext uri="{FF2B5EF4-FFF2-40B4-BE49-F238E27FC236}">
                      <a16:creationId xmlns:a16="http://schemas.microsoft.com/office/drawing/2014/main" id="{4C5B63C0-4B0A-43DB-A6B5-C80181D921A1}"/>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n-MY">
                      <a:solidFill>
                        <a:sysClr val="windowText" lastClr="000000"/>
                      </a:solidFill>
                    </a:rPr>
                    <a:t>PROJECT OWNER</a:t>
                  </a:r>
                </a:p>
              </xdr:txBody>
            </xdr:sp>
            <xdr:sp macro="" textlink="">
              <xdr:nvSpPr>
                <xdr:cNvPr id="20" name="Rectangle 19">
                  <a:extLst>
                    <a:ext uri="{FF2B5EF4-FFF2-40B4-BE49-F238E27FC236}">
                      <a16:creationId xmlns:a16="http://schemas.microsoft.com/office/drawing/2014/main" id="{912FA6D8-A0B5-48B9-A9C2-1D1BCFA7821A}"/>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n-MY">
                      <a:solidFill>
                        <a:sysClr val="windowText" lastClr="000000"/>
                      </a:solidFill>
                    </a:rPr>
                    <a:t>AUDITOR</a:t>
                  </a:r>
                </a:p>
              </xdr:txBody>
            </xdr:sp>
          </xdr:grpSp>
          <xdr:grpSp>
            <xdr:nvGrpSpPr>
              <xdr:cNvPr id="14" name="Group 13">
                <a:extLst>
                  <a:ext uri="{FF2B5EF4-FFF2-40B4-BE49-F238E27FC236}">
                    <a16:creationId xmlns:a16="http://schemas.microsoft.com/office/drawing/2014/main" id="{C01AC2E4-A249-42AB-9150-3869EB32AC1C}"/>
                  </a:ext>
                </a:extLst>
              </xdr:cNvPr>
              <xdr:cNvGrpSpPr/>
            </xdr:nvGrpSpPr>
            <xdr:grpSpPr>
              <a:xfrm>
                <a:off x="50800" y="8248650"/>
                <a:ext cx="6432550" cy="628650"/>
                <a:chOff x="50800" y="8020050"/>
                <a:chExt cx="6432550" cy="228600"/>
              </a:xfrm>
            </xdr:grpSpPr>
            <xdr:sp macro="" textlink="">
              <xdr:nvSpPr>
                <xdr:cNvPr id="15" name="Rectangle 14">
                  <a:extLst>
                    <a:ext uri="{FF2B5EF4-FFF2-40B4-BE49-F238E27FC236}">
                      <a16:creationId xmlns:a16="http://schemas.microsoft.com/office/drawing/2014/main" id="{14E33B84-6823-469A-BA97-07C141B5719B}"/>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en-MY">
                    <a:solidFill>
                      <a:sysClr val="windowText" lastClr="000000"/>
                    </a:solidFill>
                  </a:endParaRPr>
                </a:p>
              </xdr:txBody>
            </xdr:sp>
            <xdr:sp macro="" textlink="">
              <xdr:nvSpPr>
                <xdr:cNvPr id="16" name="Rectangle 15">
                  <a:extLst>
                    <a:ext uri="{FF2B5EF4-FFF2-40B4-BE49-F238E27FC236}">
                      <a16:creationId xmlns:a16="http://schemas.microsoft.com/office/drawing/2014/main" id="{97605591-F2AA-4E66-A527-CD9EE9D6C580}"/>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en-MY">
                    <a:solidFill>
                      <a:sysClr val="windowText" lastClr="000000"/>
                    </a:solidFill>
                  </a:endParaRPr>
                </a:p>
              </xdr:txBody>
            </xdr:sp>
            <xdr:sp macro="" textlink="">
              <xdr:nvSpPr>
                <xdr:cNvPr id="17" name="Rectangle 16">
                  <a:extLst>
                    <a:ext uri="{FF2B5EF4-FFF2-40B4-BE49-F238E27FC236}">
                      <a16:creationId xmlns:a16="http://schemas.microsoft.com/office/drawing/2014/main" id="{78812704-0675-43BA-9DB0-0BBC6BAC6F36}"/>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en-MY">
                    <a:solidFill>
                      <a:sysClr val="windowText" lastClr="000000"/>
                    </a:solidFill>
                  </a:endParaRPr>
                </a:p>
              </xdr:txBody>
            </xdr:sp>
          </xdr:grpSp>
        </xdr:grpSp>
        <xdr:grpSp>
          <xdr:nvGrpSpPr>
            <xdr:cNvPr id="9" name="Group 8">
              <a:extLst>
                <a:ext uri="{FF2B5EF4-FFF2-40B4-BE49-F238E27FC236}">
                  <a16:creationId xmlns:a16="http://schemas.microsoft.com/office/drawing/2014/main" id="{481A4E42-9F1D-4B6E-B5C0-C5D6DCAADDBA}"/>
                </a:ext>
              </a:extLst>
            </xdr:cNvPr>
            <xdr:cNvGrpSpPr/>
          </xdr:nvGrpSpPr>
          <xdr:grpSpPr>
            <a:xfrm>
              <a:off x="63500" y="8489950"/>
              <a:ext cx="6432550" cy="228600"/>
              <a:chOff x="50800" y="8020050"/>
              <a:chExt cx="6432550" cy="228600"/>
            </a:xfrm>
          </xdr:grpSpPr>
          <xdr:sp macro="" textlink="">
            <xdr:nvSpPr>
              <xdr:cNvPr id="10" name="Rectangle 9">
                <a:extLst>
                  <a:ext uri="{FF2B5EF4-FFF2-40B4-BE49-F238E27FC236}">
                    <a16:creationId xmlns:a16="http://schemas.microsoft.com/office/drawing/2014/main" id="{71AB7504-0B56-4F27-ACE2-E8E7B7B37A59}"/>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Name:</a:t>
                </a:r>
              </a:p>
            </xdr:txBody>
          </xdr:sp>
          <xdr:sp macro="" textlink="">
            <xdr:nvSpPr>
              <xdr:cNvPr id="11" name="Rectangle 10">
                <a:extLst>
                  <a:ext uri="{FF2B5EF4-FFF2-40B4-BE49-F238E27FC236}">
                    <a16:creationId xmlns:a16="http://schemas.microsoft.com/office/drawing/2014/main" id="{D266556E-FAB1-4556-8239-44976089F3F9}"/>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Name:</a:t>
                </a:r>
              </a:p>
            </xdr:txBody>
          </xdr:sp>
          <xdr:sp macro="" textlink="">
            <xdr:nvSpPr>
              <xdr:cNvPr id="12" name="Rectangle 11">
                <a:extLst>
                  <a:ext uri="{FF2B5EF4-FFF2-40B4-BE49-F238E27FC236}">
                    <a16:creationId xmlns:a16="http://schemas.microsoft.com/office/drawing/2014/main" id="{E08F25D6-9357-4C44-B749-35567076C483}"/>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Name:</a:t>
                </a:r>
              </a:p>
            </xdr:txBody>
          </xdr:sp>
        </xdr:grpSp>
      </xdr:grpSp>
      <xdr:grpSp>
        <xdr:nvGrpSpPr>
          <xdr:cNvPr id="4" name="Group 3">
            <a:extLst>
              <a:ext uri="{FF2B5EF4-FFF2-40B4-BE49-F238E27FC236}">
                <a16:creationId xmlns:a16="http://schemas.microsoft.com/office/drawing/2014/main" id="{0E24D9DD-4DB2-4D6B-AD64-8B641B888AD5}"/>
              </a:ext>
            </a:extLst>
          </xdr:cNvPr>
          <xdr:cNvGrpSpPr/>
        </xdr:nvGrpSpPr>
        <xdr:grpSpPr>
          <a:xfrm>
            <a:off x="63500" y="8718550"/>
            <a:ext cx="6432550" cy="222250"/>
            <a:chOff x="50800" y="8020050"/>
            <a:chExt cx="6432550" cy="228600"/>
          </a:xfrm>
        </xdr:grpSpPr>
        <xdr:sp macro="" textlink="">
          <xdr:nvSpPr>
            <xdr:cNvPr id="5" name="Rectangle 4">
              <a:extLst>
                <a:ext uri="{FF2B5EF4-FFF2-40B4-BE49-F238E27FC236}">
                  <a16:creationId xmlns:a16="http://schemas.microsoft.com/office/drawing/2014/main" id="{5C230E38-5EE4-4A29-9A30-46A303880842}"/>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Date:</a:t>
              </a:r>
            </a:p>
          </xdr:txBody>
        </xdr:sp>
        <xdr:sp macro="" textlink="">
          <xdr:nvSpPr>
            <xdr:cNvPr id="6" name="Rectangle 5">
              <a:extLst>
                <a:ext uri="{FF2B5EF4-FFF2-40B4-BE49-F238E27FC236}">
                  <a16:creationId xmlns:a16="http://schemas.microsoft.com/office/drawing/2014/main" id="{F4FD20E4-3259-47BD-9F91-C4A2F4408186}"/>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Date:</a:t>
              </a:r>
            </a:p>
          </xdr:txBody>
        </xdr:sp>
        <xdr:sp macro="" textlink="">
          <xdr:nvSpPr>
            <xdr:cNvPr id="7" name="Rectangle 6">
              <a:extLst>
                <a:ext uri="{FF2B5EF4-FFF2-40B4-BE49-F238E27FC236}">
                  <a16:creationId xmlns:a16="http://schemas.microsoft.com/office/drawing/2014/main" id="{33FCF13D-113C-45F1-BFEB-CACF3523BC6F}"/>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Date:</a:t>
              </a:r>
            </a:p>
          </xdr:txBody>
        </xdr:sp>
      </xdr:grp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89647</xdr:colOff>
      <xdr:row>192</xdr:row>
      <xdr:rowOff>112058</xdr:rowOff>
    </xdr:from>
    <xdr:to>
      <xdr:col>8</xdr:col>
      <xdr:colOff>593911</xdr:colOff>
      <xdr:row>199</xdr:row>
      <xdr:rowOff>89646</xdr:rowOff>
    </xdr:to>
    <xdr:grpSp>
      <xdr:nvGrpSpPr>
        <xdr:cNvPr id="2" name="Group 1">
          <a:extLst>
            <a:ext uri="{FF2B5EF4-FFF2-40B4-BE49-F238E27FC236}">
              <a16:creationId xmlns:a16="http://schemas.microsoft.com/office/drawing/2014/main" id="{8282ABC9-6780-401D-BA08-FD544381E3DE}"/>
            </a:ext>
          </a:extLst>
        </xdr:cNvPr>
        <xdr:cNvGrpSpPr/>
      </xdr:nvGrpSpPr>
      <xdr:grpSpPr>
        <a:xfrm>
          <a:off x="89647" y="7911352"/>
          <a:ext cx="6689911" cy="1311088"/>
          <a:chOff x="63500" y="7639050"/>
          <a:chExt cx="6432550" cy="1301750"/>
        </a:xfrm>
      </xdr:grpSpPr>
      <xdr:grpSp>
        <xdr:nvGrpSpPr>
          <xdr:cNvPr id="3" name="Group 2">
            <a:extLst>
              <a:ext uri="{FF2B5EF4-FFF2-40B4-BE49-F238E27FC236}">
                <a16:creationId xmlns:a16="http://schemas.microsoft.com/office/drawing/2014/main" id="{38B5BC68-0B77-4B09-827A-B8A59CDBC785}"/>
              </a:ext>
            </a:extLst>
          </xdr:cNvPr>
          <xdr:cNvGrpSpPr/>
        </xdr:nvGrpSpPr>
        <xdr:grpSpPr>
          <a:xfrm>
            <a:off x="63500" y="7639050"/>
            <a:ext cx="6432550" cy="1079500"/>
            <a:chOff x="63500" y="7639050"/>
            <a:chExt cx="6432550" cy="1079500"/>
          </a:xfrm>
        </xdr:grpSpPr>
        <xdr:grpSp>
          <xdr:nvGrpSpPr>
            <xdr:cNvPr id="8" name="Group 7">
              <a:extLst>
                <a:ext uri="{FF2B5EF4-FFF2-40B4-BE49-F238E27FC236}">
                  <a16:creationId xmlns:a16="http://schemas.microsoft.com/office/drawing/2014/main" id="{573BC07B-E5A0-4561-A5CA-50160A0A0F43}"/>
                </a:ext>
              </a:extLst>
            </xdr:cNvPr>
            <xdr:cNvGrpSpPr/>
          </xdr:nvGrpSpPr>
          <xdr:grpSpPr>
            <a:xfrm>
              <a:off x="63500" y="7639050"/>
              <a:ext cx="6432550" cy="857250"/>
              <a:chOff x="50800" y="8020050"/>
              <a:chExt cx="6432550" cy="857250"/>
            </a:xfrm>
          </xdr:grpSpPr>
          <xdr:grpSp>
            <xdr:nvGrpSpPr>
              <xdr:cNvPr id="13" name="Group 12">
                <a:extLst>
                  <a:ext uri="{FF2B5EF4-FFF2-40B4-BE49-F238E27FC236}">
                    <a16:creationId xmlns:a16="http://schemas.microsoft.com/office/drawing/2014/main" id="{C79EA7A7-22E1-4FCA-AA61-D8B1D3EA29B7}"/>
                  </a:ext>
                </a:extLst>
              </xdr:cNvPr>
              <xdr:cNvGrpSpPr/>
            </xdr:nvGrpSpPr>
            <xdr:grpSpPr>
              <a:xfrm>
                <a:off x="50800" y="8020050"/>
                <a:ext cx="6432550" cy="228600"/>
                <a:chOff x="50800" y="8020050"/>
                <a:chExt cx="6432550" cy="228600"/>
              </a:xfrm>
            </xdr:grpSpPr>
            <xdr:sp macro="" textlink="">
              <xdr:nvSpPr>
                <xdr:cNvPr id="18" name="Rectangle 17">
                  <a:extLst>
                    <a:ext uri="{FF2B5EF4-FFF2-40B4-BE49-F238E27FC236}">
                      <a16:creationId xmlns:a16="http://schemas.microsoft.com/office/drawing/2014/main" id="{CD90DAB0-C3C8-4215-A764-F05CE37D30F7}"/>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n-MY">
                      <a:solidFill>
                        <a:sysClr val="windowText" lastClr="000000"/>
                      </a:solidFill>
                    </a:rPr>
                    <a:t>FACILITATOR</a:t>
                  </a:r>
                </a:p>
              </xdr:txBody>
            </xdr:sp>
            <xdr:sp macro="" textlink="">
              <xdr:nvSpPr>
                <xdr:cNvPr id="19" name="Rectangle 18">
                  <a:extLst>
                    <a:ext uri="{FF2B5EF4-FFF2-40B4-BE49-F238E27FC236}">
                      <a16:creationId xmlns:a16="http://schemas.microsoft.com/office/drawing/2014/main" id="{0F323E43-14A4-449E-92FD-7634790DDA64}"/>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n-MY">
                      <a:solidFill>
                        <a:sysClr val="windowText" lastClr="000000"/>
                      </a:solidFill>
                    </a:rPr>
                    <a:t>PROJECT OWNER</a:t>
                  </a:r>
                </a:p>
              </xdr:txBody>
            </xdr:sp>
            <xdr:sp macro="" textlink="">
              <xdr:nvSpPr>
                <xdr:cNvPr id="20" name="Rectangle 19">
                  <a:extLst>
                    <a:ext uri="{FF2B5EF4-FFF2-40B4-BE49-F238E27FC236}">
                      <a16:creationId xmlns:a16="http://schemas.microsoft.com/office/drawing/2014/main" id="{57277EDF-38D9-4A4E-A243-AE6E2C9C3652}"/>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n-MY">
                      <a:solidFill>
                        <a:sysClr val="windowText" lastClr="000000"/>
                      </a:solidFill>
                    </a:rPr>
                    <a:t>AUDITOR</a:t>
                  </a:r>
                </a:p>
              </xdr:txBody>
            </xdr:sp>
          </xdr:grpSp>
          <xdr:grpSp>
            <xdr:nvGrpSpPr>
              <xdr:cNvPr id="14" name="Group 13">
                <a:extLst>
                  <a:ext uri="{FF2B5EF4-FFF2-40B4-BE49-F238E27FC236}">
                    <a16:creationId xmlns:a16="http://schemas.microsoft.com/office/drawing/2014/main" id="{360AFF10-8736-4584-B401-4E97BD6D8F2E}"/>
                  </a:ext>
                </a:extLst>
              </xdr:cNvPr>
              <xdr:cNvGrpSpPr/>
            </xdr:nvGrpSpPr>
            <xdr:grpSpPr>
              <a:xfrm>
                <a:off x="50800" y="8248650"/>
                <a:ext cx="6432550" cy="628650"/>
                <a:chOff x="50800" y="8020050"/>
                <a:chExt cx="6432550" cy="228600"/>
              </a:xfrm>
            </xdr:grpSpPr>
            <xdr:sp macro="" textlink="">
              <xdr:nvSpPr>
                <xdr:cNvPr id="15" name="Rectangle 14">
                  <a:extLst>
                    <a:ext uri="{FF2B5EF4-FFF2-40B4-BE49-F238E27FC236}">
                      <a16:creationId xmlns:a16="http://schemas.microsoft.com/office/drawing/2014/main" id="{F6389A0D-A578-46C4-8BB2-BF4C406A087B}"/>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en-MY">
                    <a:solidFill>
                      <a:sysClr val="windowText" lastClr="000000"/>
                    </a:solidFill>
                  </a:endParaRPr>
                </a:p>
              </xdr:txBody>
            </xdr:sp>
            <xdr:sp macro="" textlink="">
              <xdr:nvSpPr>
                <xdr:cNvPr id="16" name="Rectangle 15">
                  <a:extLst>
                    <a:ext uri="{FF2B5EF4-FFF2-40B4-BE49-F238E27FC236}">
                      <a16:creationId xmlns:a16="http://schemas.microsoft.com/office/drawing/2014/main" id="{7140D662-D437-4D1E-AEDA-F0E64F343968}"/>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en-MY">
                    <a:solidFill>
                      <a:sysClr val="windowText" lastClr="000000"/>
                    </a:solidFill>
                  </a:endParaRPr>
                </a:p>
              </xdr:txBody>
            </xdr:sp>
            <xdr:sp macro="" textlink="">
              <xdr:nvSpPr>
                <xdr:cNvPr id="17" name="Rectangle 16">
                  <a:extLst>
                    <a:ext uri="{FF2B5EF4-FFF2-40B4-BE49-F238E27FC236}">
                      <a16:creationId xmlns:a16="http://schemas.microsoft.com/office/drawing/2014/main" id="{6766A6F2-5F73-482C-A600-D5522ADF22F8}"/>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en-MY">
                    <a:solidFill>
                      <a:sysClr val="windowText" lastClr="000000"/>
                    </a:solidFill>
                  </a:endParaRPr>
                </a:p>
              </xdr:txBody>
            </xdr:sp>
          </xdr:grpSp>
        </xdr:grpSp>
        <xdr:grpSp>
          <xdr:nvGrpSpPr>
            <xdr:cNvPr id="9" name="Group 8">
              <a:extLst>
                <a:ext uri="{FF2B5EF4-FFF2-40B4-BE49-F238E27FC236}">
                  <a16:creationId xmlns:a16="http://schemas.microsoft.com/office/drawing/2014/main" id="{52970B69-52C7-4CDD-9C3E-CDEFB986EFAC}"/>
                </a:ext>
              </a:extLst>
            </xdr:cNvPr>
            <xdr:cNvGrpSpPr/>
          </xdr:nvGrpSpPr>
          <xdr:grpSpPr>
            <a:xfrm>
              <a:off x="63500" y="8489950"/>
              <a:ext cx="6432550" cy="228600"/>
              <a:chOff x="50800" y="8020050"/>
              <a:chExt cx="6432550" cy="228600"/>
            </a:xfrm>
          </xdr:grpSpPr>
          <xdr:sp macro="" textlink="">
            <xdr:nvSpPr>
              <xdr:cNvPr id="10" name="Rectangle 9">
                <a:extLst>
                  <a:ext uri="{FF2B5EF4-FFF2-40B4-BE49-F238E27FC236}">
                    <a16:creationId xmlns:a16="http://schemas.microsoft.com/office/drawing/2014/main" id="{CF3F1B16-2452-47C4-9108-FAFE35FFBD37}"/>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Name:</a:t>
                </a:r>
              </a:p>
            </xdr:txBody>
          </xdr:sp>
          <xdr:sp macro="" textlink="">
            <xdr:nvSpPr>
              <xdr:cNvPr id="11" name="Rectangle 10">
                <a:extLst>
                  <a:ext uri="{FF2B5EF4-FFF2-40B4-BE49-F238E27FC236}">
                    <a16:creationId xmlns:a16="http://schemas.microsoft.com/office/drawing/2014/main" id="{F8772A01-FD65-492E-8FE9-B15C168CDC42}"/>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Name:</a:t>
                </a:r>
              </a:p>
            </xdr:txBody>
          </xdr:sp>
          <xdr:sp macro="" textlink="">
            <xdr:nvSpPr>
              <xdr:cNvPr id="12" name="Rectangle 11">
                <a:extLst>
                  <a:ext uri="{FF2B5EF4-FFF2-40B4-BE49-F238E27FC236}">
                    <a16:creationId xmlns:a16="http://schemas.microsoft.com/office/drawing/2014/main" id="{2B7ED36A-1357-4F21-BDC0-0365C77F73B7}"/>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Name:</a:t>
                </a:r>
              </a:p>
            </xdr:txBody>
          </xdr:sp>
        </xdr:grpSp>
      </xdr:grpSp>
      <xdr:grpSp>
        <xdr:nvGrpSpPr>
          <xdr:cNvPr id="4" name="Group 3">
            <a:extLst>
              <a:ext uri="{FF2B5EF4-FFF2-40B4-BE49-F238E27FC236}">
                <a16:creationId xmlns:a16="http://schemas.microsoft.com/office/drawing/2014/main" id="{249C3C5D-919F-409A-A066-519777E013C5}"/>
              </a:ext>
            </a:extLst>
          </xdr:cNvPr>
          <xdr:cNvGrpSpPr/>
        </xdr:nvGrpSpPr>
        <xdr:grpSpPr>
          <a:xfrm>
            <a:off x="63500" y="8718550"/>
            <a:ext cx="6432550" cy="222250"/>
            <a:chOff x="50800" y="8020050"/>
            <a:chExt cx="6432550" cy="228600"/>
          </a:xfrm>
        </xdr:grpSpPr>
        <xdr:sp macro="" textlink="">
          <xdr:nvSpPr>
            <xdr:cNvPr id="5" name="Rectangle 4">
              <a:extLst>
                <a:ext uri="{FF2B5EF4-FFF2-40B4-BE49-F238E27FC236}">
                  <a16:creationId xmlns:a16="http://schemas.microsoft.com/office/drawing/2014/main" id="{EE63A9E7-C571-4C41-9302-574B62E8BE67}"/>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Date:</a:t>
              </a:r>
            </a:p>
          </xdr:txBody>
        </xdr:sp>
        <xdr:sp macro="" textlink="">
          <xdr:nvSpPr>
            <xdr:cNvPr id="6" name="Rectangle 5">
              <a:extLst>
                <a:ext uri="{FF2B5EF4-FFF2-40B4-BE49-F238E27FC236}">
                  <a16:creationId xmlns:a16="http://schemas.microsoft.com/office/drawing/2014/main" id="{71035C13-FB68-4F63-B766-07C068C42C5E}"/>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Date:</a:t>
              </a:r>
            </a:p>
          </xdr:txBody>
        </xdr:sp>
        <xdr:sp macro="" textlink="">
          <xdr:nvSpPr>
            <xdr:cNvPr id="7" name="Rectangle 6">
              <a:extLst>
                <a:ext uri="{FF2B5EF4-FFF2-40B4-BE49-F238E27FC236}">
                  <a16:creationId xmlns:a16="http://schemas.microsoft.com/office/drawing/2014/main" id="{1FE09A5A-34AF-432F-82B5-A90A85C61656}"/>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Date:</a:t>
              </a:r>
            </a:p>
          </xdr:txBody>
        </xdr:sp>
      </xdr:grp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89647</xdr:colOff>
      <xdr:row>192</xdr:row>
      <xdr:rowOff>112058</xdr:rowOff>
    </xdr:from>
    <xdr:to>
      <xdr:col>8</xdr:col>
      <xdr:colOff>593911</xdr:colOff>
      <xdr:row>199</xdr:row>
      <xdr:rowOff>89646</xdr:rowOff>
    </xdr:to>
    <xdr:grpSp>
      <xdr:nvGrpSpPr>
        <xdr:cNvPr id="2" name="Group 1">
          <a:extLst>
            <a:ext uri="{FF2B5EF4-FFF2-40B4-BE49-F238E27FC236}">
              <a16:creationId xmlns:a16="http://schemas.microsoft.com/office/drawing/2014/main" id="{673CAA16-9377-44D7-9513-54D4AEBABD16}"/>
            </a:ext>
          </a:extLst>
        </xdr:cNvPr>
        <xdr:cNvGrpSpPr/>
      </xdr:nvGrpSpPr>
      <xdr:grpSpPr>
        <a:xfrm>
          <a:off x="89647" y="7911352"/>
          <a:ext cx="6689911" cy="1311088"/>
          <a:chOff x="63500" y="7639050"/>
          <a:chExt cx="6432550" cy="1301750"/>
        </a:xfrm>
      </xdr:grpSpPr>
      <xdr:grpSp>
        <xdr:nvGrpSpPr>
          <xdr:cNvPr id="3" name="Group 2">
            <a:extLst>
              <a:ext uri="{FF2B5EF4-FFF2-40B4-BE49-F238E27FC236}">
                <a16:creationId xmlns:a16="http://schemas.microsoft.com/office/drawing/2014/main" id="{FFA7DC34-DEBC-462B-9AB8-FB5881CC8CBB}"/>
              </a:ext>
            </a:extLst>
          </xdr:cNvPr>
          <xdr:cNvGrpSpPr/>
        </xdr:nvGrpSpPr>
        <xdr:grpSpPr>
          <a:xfrm>
            <a:off x="63500" y="7639050"/>
            <a:ext cx="6432550" cy="1079500"/>
            <a:chOff x="63500" y="7639050"/>
            <a:chExt cx="6432550" cy="1079500"/>
          </a:xfrm>
        </xdr:grpSpPr>
        <xdr:grpSp>
          <xdr:nvGrpSpPr>
            <xdr:cNvPr id="8" name="Group 7">
              <a:extLst>
                <a:ext uri="{FF2B5EF4-FFF2-40B4-BE49-F238E27FC236}">
                  <a16:creationId xmlns:a16="http://schemas.microsoft.com/office/drawing/2014/main" id="{15814F24-7564-4D12-8D3B-0EB1C36F9509}"/>
                </a:ext>
              </a:extLst>
            </xdr:cNvPr>
            <xdr:cNvGrpSpPr/>
          </xdr:nvGrpSpPr>
          <xdr:grpSpPr>
            <a:xfrm>
              <a:off x="63500" y="7639050"/>
              <a:ext cx="6432550" cy="857250"/>
              <a:chOff x="50800" y="8020050"/>
              <a:chExt cx="6432550" cy="857250"/>
            </a:xfrm>
          </xdr:grpSpPr>
          <xdr:grpSp>
            <xdr:nvGrpSpPr>
              <xdr:cNvPr id="13" name="Group 12">
                <a:extLst>
                  <a:ext uri="{FF2B5EF4-FFF2-40B4-BE49-F238E27FC236}">
                    <a16:creationId xmlns:a16="http://schemas.microsoft.com/office/drawing/2014/main" id="{D6B87DCA-6EF1-4C21-A0CC-EE8939C9FA93}"/>
                  </a:ext>
                </a:extLst>
              </xdr:cNvPr>
              <xdr:cNvGrpSpPr/>
            </xdr:nvGrpSpPr>
            <xdr:grpSpPr>
              <a:xfrm>
                <a:off x="50800" y="8020050"/>
                <a:ext cx="6432550" cy="228600"/>
                <a:chOff x="50800" y="8020050"/>
                <a:chExt cx="6432550" cy="228600"/>
              </a:xfrm>
            </xdr:grpSpPr>
            <xdr:sp macro="" textlink="">
              <xdr:nvSpPr>
                <xdr:cNvPr id="18" name="Rectangle 17">
                  <a:extLst>
                    <a:ext uri="{FF2B5EF4-FFF2-40B4-BE49-F238E27FC236}">
                      <a16:creationId xmlns:a16="http://schemas.microsoft.com/office/drawing/2014/main" id="{59279C17-D3F3-4FE8-B56D-12E3B6335083}"/>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n-MY">
                      <a:solidFill>
                        <a:sysClr val="windowText" lastClr="000000"/>
                      </a:solidFill>
                    </a:rPr>
                    <a:t>FACILITATOR</a:t>
                  </a:r>
                </a:p>
              </xdr:txBody>
            </xdr:sp>
            <xdr:sp macro="" textlink="">
              <xdr:nvSpPr>
                <xdr:cNvPr id="19" name="Rectangle 18">
                  <a:extLst>
                    <a:ext uri="{FF2B5EF4-FFF2-40B4-BE49-F238E27FC236}">
                      <a16:creationId xmlns:a16="http://schemas.microsoft.com/office/drawing/2014/main" id="{DAC0143F-A276-480C-A451-9953261D3837}"/>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n-MY">
                      <a:solidFill>
                        <a:sysClr val="windowText" lastClr="000000"/>
                      </a:solidFill>
                    </a:rPr>
                    <a:t>PROJECT OWNER</a:t>
                  </a:r>
                </a:p>
              </xdr:txBody>
            </xdr:sp>
            <xdr:sp macro="" textlink="">
              <xdr:nvSpPr>
                <xdr:cNvPr id="20" name="Rectangle 19">
                  <a:extLst>
                    <a:ext uri="{FF2B5EF4-FFF2-40B4-BE49-F238E27FC236}">
                      <a16:creationId xmlns:a16="http://schemas.microsoft.com/office/drawing/2014/main" id="{E391E2D1-CD04-4266-A88C-218C1F8FE1DE}"/>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n-MY">
                      <a:solidFill>
                        <a:sysClr val="windowText" lastClr="000000"/>
                      </a:solidFill>
                    </a:rPr>
                    <a:t>AUDITOR</a:t>
                  </a:r>
                </a:p>
              </xdr:txBody>
            </xdr:sp>
          </xdr:grpSp>
          <xdr:grpSp>
            <xdr:nvGrpSpPr>
              <xdr:cNvPr id="14" name="Group 13">
                <a:extLst>
                  <a:ext uri="{FF2B5EF4-FFF2-40B4-BE49-F238E27FC236}">
                    <a16:creationId xmlns:a16="http://schemas.microsoft.com/office/drawing/2014/main" id="{030CC369-C467-463B-9014-354209145D60}"/>
                  </a:ext>
                </a:extLst>
              </xdr:cNvPr>
              <xdr:cNvGrpSpPr/>
            </xdr:nvGrpSpPr>
            <xdr:grpSpPr>
              <a:xfrm>
                <a:off x="50800" y="8248650"/>
                <a:ext cx="6432550" cy="628650"/>
                <a:chOff x="50800" y="8020050"/>
                <a:chExt cx="6432550" cy="228600"/>
              </a:xfrm>
            </xdr:grpSpPr>
            <xdr:sp macro="" textlink="">
              <xdr:nvSpPr>
                <xdr:cNvPr id="15" name="Rectangle 14">
                  <a:extLst>
                    <a:ext uri="{FF2B5EF4-FFF2-40B4-BE49-F238E27FC236}">
                      <a16:creationId xmlns:a16="http://schemas.microsoft.com/office/drawing/2014/main" id="{2CE22089-013C-48A7-90D2-C6764FC30A36}"/>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en-MY">
                    <a:solidFill>
                      <a:sysClr val="windowText" lastClr="000000"/>
                    </a:solidFill>
                  </a:endParaRPr>
                </a:p>
              </xdr:txBody>
            </xdr:sp>
            <xdr:sp macro="" textlink="">
              <xdr:nvSpPr>
                <xdr:cNvPr id="16" name="Rectangle 15">
                  <a:extLst>
                    <a:ext uri="{FF2B5EF4-FFF2-40B4-BE49-F238E27FC236}">
                      <a16:creationId xmlns:a16="http://schemas.microsoft.com/office/drawing/2014/main" id="{2E75B461-D4CA-48CF-8A15-622A5880560E}"/>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en-MY">
                    <a:solidFill>
                      <a:sysClr val="windowText" lastClr="000000"/>
                    </a:solidFill>
                  </a:endParaRPr>
                </a:p>
              </xdr:txBody>
            </xdr:sp>
            <xdr:sp macro="" textlink="">
              <xdr:nvSpPr>
                <xdr:cNvPr id="17" name="Rectangle 16">
                  <a:extLst>
                    <a:ext uri="{FF2B5EF4-FFF2-40B4-BE49-F238E27FC236}">
                      <a16:creationId xmlns:a16="http://schemas.microsoft.com/office/drawing/2014/main" id="{E9C48D08-852D-455C-83FA-F676E11E3150}"/>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en-MY">
                    <a:solidFill>
                      <a:sysClr val="windowText" lastClr="000000"/>
                    </a:solidFill>
                  </a:endParaRPr>
                </a:p>
              </xdr:txBody>
            </xdr:sp>
          </xdr:grpSp>
        </xdr:grpSp>
        <xdr:grpSp>
          <xdr:nvGrpSpPr>
            <xdr:cNvPr id="9" name="Group 8">
              <a:extLst>
                <a:ext uri="{FF2B5EF4-FFF2-40B4-BE49-F238E27FC236}">
                  <a16:creationId xmlns:a16="http://schemas.microsoft.com/office/drawing/2014/main" id="{BDCE1D1A-10DB-4E8B-9335-3D34180899C3}"/>
                </a:ext>
              </a:extLst>
            </xdr:cNvPr>
            <xdr:cNvGrpSpPr/>
          </xdr:nvGrpSpPr>
          <xdr:grpSpPr>
            <a:xfrm>
              <a:off x="63500" y="8489950"/>
              <a:ext cx="6432550" cy="228600"/>
              <a:chOff x="50800" y="8020050"/>
              <a:chExt cx="6432550" cy="228600"/>
            </a:xfrm>
          </xdr:grpSpPr>
          <xdr:sp macro="" textlink="">
            <xdr:nvSpPr>
              <xdr:cNvPr id="10" name="Rectangle 9">
                <a:extLst>
                  <a:ext uri="{FF2B5EF4-FFF2-40B4-BE49-F238E27FC236}">
                    <a16:creationId xmlns:a16="http://schemas.microsoft.com/office/drawing/2014/main" id="{267EB93E-0097-4EC5-8173-3E6387CCB5C0}"/>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Name:</a:t>
                </a:r>
              </a:p>
            </xdr:txBody>
          </xdr:sp>
          <xdr:sp macro="" textlink="">
            <xdr:nvSpPr>
              <xdr:cNvPr id="11" name="Rectangle 10">
                <a:extLst>
                  <a:ext uri="{FF2B5EF4-FFF2-40B4-BE49-F238E27FC236}">
                    <a16:creationId xmlns:a16="http://schemas.microsoft.com/office/drawing/2014/main" id="{93482269-01F1-4080-8C10-955E1B65F32B}"/>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Name:</a:t>
                </a:r>
              </a:p>
            </xdr:txBody>
          </xdr:sp>
          <xdr:sp macro="" textlink="">
            <xdr:nvSpPr>
              <xdr:cNvPr id="12" name="Rectangle 11">
                <a:extLst>
                  <a:ext uri="{FF2B5EF4-FFF2-40B4-BE49-F238E27FC236}">
                    <a16:creationId xmlns:a16="http://schemas.microsoft.com/office/drawing/2014/main" id="{52F93FB5-D48D-4EDB-B1F6-ABD29564E40B}"/>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Name:</a:t>
                </a:r>
              </a:p>
            </xdr:txBody>
          </xdr:sp>
        </xdr:grpSp>
      </xdr:grpSp>
      <xdr:grpSp>
        <xdr:nvGrpSpPr>
          <xdr:cNvPr id="4" name="Group 3">
            <a:extLst>
              <a:ext uri="{FF2B5EF4-FFF2-40B4-BE49-F238E27FC236}">
                <a16:creationId xmlns:a16="http://schemas.microsoft.com/office/drawing/2014/main" id="{F325B102-D0EE-487D-8F3B-59DB5F276C21}"/>
              </a:ext>
            </a:extLst>
          </xdr:cNvPr>
          <xdr:cNvGrpSpPr/>
        </xdr:nvGrpSpPr>
        <xdr:grpSpPr>
          <a:xfrm>
            <a:off x="63500" y="8718550"/>
            <a:ext cx="6432550" cy="222250"/>
            <a:chOff x="50800" y="8020050"/>
            <a:chExt cx="6432550" cy="228600"/>
          </a:xfrm>
        </xdr:grpSpPr>
        <xdr:sp macro="" textlink="">
          <xdr:nvSpPr>
            <xdr:cNvPr id="5" name="Rectangle 4">
              <a:extLst>
                <a:ext uri="{FF2B5EF4-FFF2-40B4-BE49-F238E27FC236}">
                  <a16:creationId xmlns:a16="http://schemas.microsoft.com/office/drawing/2014/main" id="{8143E0BC-FF35-4F97-9234-A15881B63F79}"/>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Date:</a:t>
              </a:r>
            </a:p>
          </xdr:txBody>
        </xdr:sp>
        <xdr:sp macro="" textlink="">
          <xdr:nvSpPr>
            <xdr:cNvPr id="6" name="Rectangle 5">
              <a:extLst>
                <a:ext uri="{FF2B5EF4-FFF2-40B4-BE49-F238E27FC236}">
                  <a16:creationId xmlns:a16="http://schemas.microsoft.com/office/drawing/2014/main" id="{4166F66F-190C-46FD-B3D6-5213F881559B}"/>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Date:</a:t>
              </a:r>
            </a:p>
          </xdr:txBody>
        </xdr:sp>
        <xdr:sp macro="" textlink="">
          <xdr:nvSpPr>
            <xdr:cNvPr id="7" name="Rectangle 6">
              <a:extLst>
                <a:ext uri="{FF2B5EF4-FFF2-40B4-BE49-F238E27FC236}">
                  <a16:creationId xmlns:a16="http://schemas.microsoft.com/office/drawing/2014/main" id="{EF8AE22E-4AEF-48FE-A395-92475B97C69B}"/>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Date:</a:t>
              </a:r>
            </a:p>
          </xdr:txBody>
        </xdr:sp>
      </xdr:grp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89647</xdr:colOff>
      <xdr:row>192</xdr:row>
      <xdr:rowOff>112058</xdr:rowOff>
    </xdr:from>
    <xdr:to>
      <xdr:col>8</xdr:col>
      <xdr:colOff>593911</xdr:colOff>
      <xdr:row>199</xdr:row>
      <xdr:rowOff>89646</xdr:rowOff>
    </xdr:to>
    <xdr:grpSp>
      <xdr:nvGrpSpPr>
        <xdr:cNvPr id="2" name="Group 1">
          <a:extLst>
            <a:ext uri="{FF2B5EF4-FFF2-40B4-BE49-F238E27FC236}">
              <a16:creationId xmlns:a16="http://schemas.microsoft.com/office/drawing/2014/main" id="{EF314937-76CD-4209-A41A-E6D7DD7186F2}"/>
            </a:ext>
          </a:extLst>
        </xdr:cNvPr>
        <xdr:cNvGrpSpPr/>
      </xdr:nvGrpSpPr>
      <xdr:grpSpPr>
        <a:xfrm>
          <a:off x="89647" y="7911352"/>
          <a:ext cx="6689911" cy="1311088"/>
          <a:chOff x="63500" y="7639050"/>
          <a:chExt cx="6432550" cy="1301750"/>
        </a:xfrm>
      </xdr:grpSpPr>
      <xdr:grpSp>
        <xdr:nvGrpSpPr>
          <xdr:cNvPr id="3" name="Group 2">
            <a:extLst>
              <a:ext uri="{FF2B5EF4-FFF2-40B4-BE49-F238E27FC236}">
                <a16:creationId xmlns:a16="http://schemas.microsoft.com/office/drawing/2014/main" id="{2C5D7FB0-DB3C-4BB5-82BE-0CE1CB4C9D97}"/>
              </a:ext>
            </a:extLst>
          </xdr:cNvPr>
          <xdr:cNvGrpSpPr/>
        </xdr:nvGrpSpPr>
        <xdr:grpSpPr>
          <a:xfrm>
            <a:off x="63500" y="7639050"/>
            <a:ext cx="6432550" cy="1079500"/>
            <a:chOff x="63500" y="7639050"/>
            <a:chExt cx="6432550" cy="1079500"/>
          </a:xfrm>
        </xdr:grpSpPr>
        <xdr:grpSp>
          <xdr:nvGrpSpPr>
            <xdr:cNvPr id="8" name="Group 7">
              <a:extLst>
                <a:ext uri="{FF2B5EF4-FFF2-40B4-BE49-F238E27FC236}">
                  <a16:creationId xmlns:a16="http://schemas.microsoft.com/office/drawing/2014/main" id="{CFB085D6-57E2-4C4C-BED2-C81EF12D519B}"/>
                </a:ext>
              </a:extLst>
            </xdr:cNvPr>
            <xdr:cNvGrpSpPr/>
          </xdr:nvGrpSpPr>
          <xdr:grpSpPr>
            <a:xfrm>
              <a:off x="63500" y="7639050"/>
              <a:ext cx="6432550" cy="857250"/>
              <a:chOff x="50800" y="8020050"/>
              <a:chExt cx="6432550" cy="857250"/>
            </a:xfrm>
          </xdr:grpSpPr>
          <xdr:grpSp>
            <xdr:nvGrpSpPr>
              <xdr:cNvPr id="13" name="Group 12">
                <a:extLst>
                  <a:ext uri="{FF2B5EF4-FFF2-40B4-BE49-F238E27FC236}">
                    <a16:creationId xmlns:a16="http://schemas.microsoft.com/office/drawing/2014/main" id="{E138B7D9-0ADA-4024-877E-BA6E756B1B95}"/>
                  </a:ext>
                </a:extLst>
              </xdr:cNvPr>
              <xdr:cNvGrpSpPr/>
            </xdr:nvGrpSpPr>
            <xdr:grpSpPr>
              <a:xfrm>
                <a:off x="50800" y="8020050"/>
                <a:ext cx="6432550" cy="228600"/>
                <a:chOff x="50800" y="8020050"/>
                <a:chExt cx="6432550" cy="228600"/>
              </a:xfrm>
            </xdr:grpSpPr>
            <xdr:sp macro="" textlink="">
              <xdr:nvSpPr>
                <xdr:cNvPr id="18" name="Rectangle 17">
                  <a:extLst>
                    <a:ext uri="{FF2B5EF4-FFF2-40B4-BE49-F238E27FC236}">
                      <a16:creationId xmlns:a16="http://schemas.microsoft.com/office/drawing/2014/main" id="{B47C0CA9-EB09-4248-8404-793425993117}"/>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n-MY">
                      <a:solidFill>
                        <a:sysClr val="windowText" lastClr="000000"/>
                      </a:solidFill>
                    </a:rPr>
                    <a:t>FACILITATOR</a:t>
                  </a:r>
                </a:p>
              </xdr:txBody>
            </xdr:sp>
            <xdr:sp macro="" textlink="">
              <xdr:nvSpPr>
                <xdr:cNvPr id="19" name="Rectangle 18">
                  <a:extLst>
                    <a:ext uri="{FF2B5EF4-FFF2-40B4-BE49-F238E27FC236}">
                      <a16:creationId xmlns:a16="http://schemas.microsoft.com/office/drawing/2014/main" id="{92E72845-01D7-4FC7-919F-15393CD143E9}"/>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n-MY">
                      <a:solidFill>
                        <a:sysClr val="windowText" lastClr="000000"/>
                      </a:solidFill>
                    </a:rPr>
                    <a:t>PROJECT OWNER</a:t>
                  </a:r>
                </a:p>
              </xdr:txBody>
            </xdr:sp>
            <xdr:sp macro="" textlink="">
              <xdr:nvSpPr>
                <xdr:cNvPr id="20" name="Rectangle 19">
                  <a:extLst>
                    <a:ext uri="{FF2B5EF4-FFF2-40B4-BE49-F238E27FC236}">
                      <a16:creationId xmlns:a16="http://schemas.microsoft.com/office/drawing/2014/main" id="{AC781116-2F90-4F29-BE86-9806EEDBA9CA}"/>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n-MY">
                      <a:solidFill>
                        <a:sysClr val="windowText" lastClr="000000"/>
                      </a:solidFill>
                    </a:rPr>
                    <a:t>AUDITOR</a:t>
                  </a:r>
                </a:p>
              </xdr:txBody>
            </xdr:sp>
          </xdr:grpSp>
          <xdr:grpSp>
            <xdr:nvGrpSpPr>
              <xdr:cNvPr id="14" name="Group 13">
                <a:extLst>
                  <a:ext uri="{FF2B5EF4-FFF2-40B4-BE49-F238E27FC236}">
                    <a16:creationId xmlns:a16="http://schemas.microsoft.com/office/drawing/2014/main" id="{98C8ADDB-5766-4749-BDC7-6A1082AF1057}"/>
                  </a:ext>
                </a:extLst>
              </xdr:cNvPr>
              <xdr:cNvGrpSpPr/>
            </xdr:nvGrpSpPr>
            <xdr:grpSpPr>
              <a:xfrm>
                <a:off x="50800" y="8248650"/>
                <a:ext cx="6432550" cy="628650"/>
                <a:chOff x="50800" y="8020050"/>
                <a:chExt cx="6432550" cy="228600"/>
              </a:xfrm>
            </xdr:grpSpPr>
            <xdr:sp macro="" textlink="">
              <xdr:nvSpPr>
                <xdr:cNvPr id="15" name="Rectangle 14">
                  <a:extLst>
                    <a:ext uri="{FF2B5EF4-FFF2-40B4-BE49-F238E27FC236}">
                      <a16:creationId xmlns:a16="http://schemas.microsoft.com/office/drawing/2014/main" id="{95A18733-AB2E-4860-B18E-043E5BFFB02E}"/>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en-MY">
                    <a:solidFill>
                      <a:sysClr val="windowText" lastClr="000000"/>
                    </a:solidFill>
                  </a:endParaRPr>
                </a:p>
              </xdr:txBody>
            </xdr:sp>
            <xdr:sp macro="" textlink="">
              <xdr:nvSpPr>
                <xdr:cNvPr id="16" name="Rectangle 15">
                  <a:extLst>
                    <a:ext uri="{FF2B5EF4-FFF2-40B4-BE49-F238E27FC236}">
                      <a16:creationId xmlns:a16="http://schemas.microsoft.com/office/drawing/2014/main" id="{D37C721A-4E04-4D98-954D-17103557099F}"/>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en-MY">
                    <a:solidFill>
                      <a:sysClr val="windowText" lastClr="000000"/>
                    </a:solidFill>
                  </a:endParaRPr>
                </a:p>
              </xdr:txBody>
            </xdr:sp>
            <xdr:sp macro="" textlink="">
              <xdr:nvSpPr>
                <xdr:cNvPr id="17" name="Rectangle 16">
                  <a:extLst>
                    <a:ext uri="{FF2B5EF4-FFF2-40B4-BE49-F238E27FC236}">
                      <a16:creationId xmlns:a16="http://schemas.microsoft.com/office/drawing/2014/main" id="{A1B46B04-6357-4FF7-98CE-EAD98F3BEC00}"/>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en-MY">
                    <a:solidFill>
                      <a:sysClr val="windowText" lastClr="000000"/>
                    </a:solidFill>
                  </a:endParaRPr>
                </a:p>
              </xdr:txBody>
            </xdr:sp>
          </xdr:grpSp>
        </xdr:grpSp>
        <xdr:grpSp>
          <xdr:nvGrpSpPr>
            <xdr:cNvPr id="9" name="Group 8">
              <a:extLst>
                <a:ext uri="{FF2B5EF4-FFF2-40B4-BE49-F238E27FC236}">
                  <a16:creationId xmlns:a16="http://schemas.microsoft.com/office/drawing/2014/main" id="{81EB41A7-D2E8-49EF-BDE9-6BB3BAA0023B}"/>
                </a:ext>
              </a:extLst>
            </xdr:cNvPr>
            <xdr:cNvGrpSpPr/>
          </xdr:nvGrpSpPr>
          <xdr:grpSpPr>
            <a:xfrm>
              <a:off x="63500" y="8489950"/>
              <a:ext cx="6432550" cy="228600"/>
              <a:chOff x="50800" y="8020050"/>
              <a:chExt cx="6432550" cy="228600"/>
            </a:xfrm>
          </xdr:grpSpPr>
          <xdr:sp macro="" textlink="">
            <xdr:nvSpPr>
              <xdr:cNvPr id="10" name="Rectangle 9">
                <a:extLst>
                  <a:ext uri="{FF2B5EF4-FFF2-40B4-BE49-F238E27FC236}">
                    <a16:creationId xmlns:a16="http://schemas.microsoft.com/office/drawing/2014/main" id="{25922142-D7FF-4AC5-8BED-75F2754076ED}"/>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Name:</a:t>
                </a:r>
              </a:p>
            </xdr:txBody>
          </xdr:sp>
          <xdr:sp macro="" textlink="">
            <xdr:nvSpPr>
              <xdr:cNvPr id="11" name="Rectangle 10">
                <a:extLst>
                  <a:ext uri="{FF2B5EF4-FFF2-40B4-BE49-F238E27FC236}">
                    <a16:creationId xmlns:a16="http://schemas.microsoft.com/office/drawing/2014/main" id="{57D949DB-EE1D-4A25-9255-46522F72C1B1}"/>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Name:</a:t>
                </a:r>
              </a:p>
            </xdr:txBody>
          </xdr:sp>
          <xdr:sp macro="" textlink="">
            <xdr:nvSpPr>
              <xdr:cNvPr id="12" name="Rectangle 11">
                <a:extLst>
                  <a:ext uri="{FF2B5EF4-FFF2-40B4-BE49-F238E27FC236}">
                    <a16:creationId xmlns:a16="http://schemas.microsoft.com/office/drawing/2014/main" id="{7195BD09-18A8-44E9-8A6D-78044A74EA2B}"/>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Name:</a:t>
                </a:r>
              </a:p>
            </xdr:txBody>
          </xdr:sp>
        </xdr:grpSp>
      </xdr:grpSp>
      <xdr:grpSp>
        <xdr:nvGrpSpPr>
          <xdr:cNvPr id="4" name="Group 3">
            <a:extLst>
              <a:ext uri="{FF2B5EF4-FFF2-40B4-BE49-F238E27FC236}">
                <a16:creationId xmlns:a16="http://schemas.microsoft.com/office/drawing/2014/main" id="{C8F3F721-0D54-446B-9A55-0EA67E25FACE}"/>
              </a:ext>
            </a:extLst>
          </xdr:cNvPr>
          <xdr:cNvGrpSpPr/>
        </xdr:nvGrpSpPr>
        <xdr:grpSpPr>
          <a:xfrm>
            <a:off x="63500" y="8718550"/>
            <a:ext cx="6432550" cy="222250"/>
            <a:chOff x="50800" y="8020050"/>
            <a:chExt cx="6432550" cy="228600"/>
          </a:xfrm>
        </xdr:grpSpPr>
        <xdr:sp macro="" textlink="">
          <xdr:nvSpPr>
            <xdr:cNvPr id="5" name="Rectangle 4">
              <a:extLst>
                <a:ext uri="{FF2B5EF4-FFF2-40B4-BE49-F238E27FC236}">
                  <a16:creationId xmlns:a16="http://schemas.microsoft.com/office/drawing/2014/main" id="{8EA86EB3-75C1-4F27-82BE-295D9C75AE5E}"/>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Date:</a:t>
              </a:r>
            </a:p>
          </xdr:txBody>
        </xdr:sp>
        <xdr:sp macro="" textlink="">
          <xdr:nvSpPr>
            <xdr:cNvPr id="6" name="Rectangle 5">
              <a:extLst>
                <a:ext uri="{FF2B5EF4-FFF2-40B4-BE49-F238E27FC236}">
                  <a16:creationId xmlns:a16="http://schemas.microsoft.com/office/drawing/2014/main" id="{785FCF99-3B01-4F19-8D65-8A2D6EB47319}"/>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Date:</a:t>
              </a:r>
            </a:p>
          </xdr:txBody>
        </xdr:sp>
        <xdr:sp macro="" textlink="">
          <xdr:nvSpPr>
            <xdr:cNvPr id="7" name="Rectangle 6">
              <a:extLst>
                <a:ext uri="{FF2B5EF4-FFF2-40B4-BE49-F238E27FC236}">
                  <a16:creationId xmlns:a16="http://schemas.microsoft.com/office/drawing/2014/main" id="{9EE5DB7D-A945-4D2D-925E-E16667838ADE}"/>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Date:</a:t>
              </a:r>
            </a:p>
          </xdr:txBody>
        </xdr:sp>
      </xdr:grp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89647</xdr:colOff>
      <xdr:row>192</xdr:row>
      <xdr:rowOff>112058</xdr:rowOff>
    </xdr:from>
    <xdr:to>
      <xdr:col>8</xdr:col>
      <xdr:colOff>593911</xdr:colOff>
      <xdr:row>199</xdr:row>
      <xdr:rowOff>89646</xdr:rowOff>
    </xdr:to>
    <xdr:grpSp>
      <xdr:nvGrpSpPr>
        <xdr:cNvPr id="2" name="Group 1">
          <a:extLst>
            <a:ext uri="{FF2B5EF4-FFF2-40B4-BE49-F238E27FC236}">
              <a16:creationId xmlns:a16="http://schemas.microsoft.com/office/drawing/2014/main" id="{B6DBF58B-35B4-4FDE-B88E-DC6873218970}"/>
            </a:ext>
          </a:extLst>
        </xdr:cNvPr>
        <xdr:cNvGrpSpPr/>
      </xdr:nvGrpSpPr>
      <xdr:grpSpPr>
        <a:xfrm>
          <a:off x="89647" y="7911352"/>
          <a:ext cx="6689911" cy="1311088"/>
          <a:chOff x="63500" y="7639050"/>
          <a:chExt cx="6432550" cy="1301750"/>
        </a:xfrm>
      </xdr:grpSpPr>
      <xdr:grpSp>
        <xdr:nvGrpSpPr>
          <xdr:cNvPr id="3" name="Group 2">
            <a:extLst>
              <a:ext uri="{FF2B5EF4-FFF2-40B4-BE49-F238E27FC236}">
                <a16:creationId xmlns:a16="http://schemas.microsoft.com/office/drawing/2014/main" id="{18F34CF5-F823-497D-9AF4-F48324F70016}"/>
              </a:ext>
            </a:extLst>
          </xdr:cNvPr>
          <xdr:cNvGrpSpPr/>
        </xdr:nvGrpSpPr>
        <xdr:grpSpPr>
          <a:xfrm>
            <a:off x="63500" y="7639050"/>
            <a:ext cx="6432550" cy="1079500"/>
            <a:chOff x="63500" y="7639050"/>
            <a:chExt cx="6432550" cy="1079500"/>
          </a:xfrm>
        </xdr:grpSpPr>
        <xdr:grpSp>
          <xdr:nvGrpSpPr>
            <xdr:cNvPr id="8" name="Group 7">
              <a:extLst>
                <a:ext uri="{FF2B5EF4-FFF2-40B4-BE49-F238E27FC236}">
                  <a16:creationId xmlns:a16="http://schemas.microsoft.com/office/drawing/2014/main" id="{49EC68B5-DB84-499C-81AF-A34D53DAC79A}"/>
                </a:ext>
              </a:extLst>
            </xdr:cNvPr>
            <xdr:cNvGrpSpPr/>
          </xdr:nvGrpSpPr>
          <xdr:grpSpPr>
            <a:xfrm>
              <a:off x="63500" y="7639050"/>
              <a:ext cx="6432550" cy="857250"/>
              <a:chOff x="50800" y="8020050"/>
              <a:chExt cx="6432550" cy="857250"/>
            </a:xfrm>
          </xdr:grpSpPr>
          <xdr:grpSp>
            <xdr:nvGrpSpPr>
              <xdr:cNvPr id="13" name="Group 12">
                <a:extLst>
                  <a:ext uri="{FF2B5EF4-FFF2-40B4-BE49-F238E27FC236}">
                    <a16:creationId xmlns:a16="http://schemas.microsoft.com/office/drawing/2014/main" id="{3A977607-ADA2-4EDE-9F31-06C0CBCF9E7E}"/>
                  </a:ext>
                </a:extLst>
              </xdr:cNvPr>
              <xdr:cNvGrpSpPr/>
            </xdr:nvGrpSpPr>
            <xdr:grpSpPr>
              <a:xfrm>
                <a:off x="50800" y="8020050"/>
                <a:ext cx="6432550" cy="228600"/>
                <a:chOff x="50800" y="8020050"/>
                <a:chExt cx="6432550" cy="228600"/>
              </a:xfrm>
            </xdr:grpSpPr>
            <xdr:sp macro="" textlink="">
              <xdr:nvSpPr>
                <xdr:cNvPr id="18" name="Rectangle 17">
                  <a:extLst>
                    <a:ext uri="{FF2B5EF4-FFF2-40B4-BE49-F238E27FC236}">
                      <a16:creationId xmlns:a16="http://schemas.microsoft.com/office/drawing/2014/main" id="{9B0EA2CF-4FA9-4F55-AFB4-A32ABC7E6012}"/>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n-MY">
                      <a:solidFill>
                        <a:sysClr val="windowText" lastClr="000000"/>
                      </a:solidFill>
                    </a:rPr>
                    <a:t>FACILITATOR</a:t>
                  </a:r>
                </a:p>
              </xdr:txBody>
            </xdr:sp>
            <xdr:sp macro="" textlink="">
              <xdr:nvSpPr>
                <xdr:cNvPr id="19" name="Rectangle 18">
                  <a:extLst>
                    <a:ext uri="{FF2B5EF4-FFF2-40B4-BE49-F238E27FC236}">
                      <a16:creationId xmlns:a16="http://schemas.microsoft.com/office/drawing/2014/main" id="{760483B9-FE7E-4EB1-A384-8A45D7F6F0E5}"/>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n-MY">
                      <a:solidFill>
                        <a:sysClr val="windowText" lastClr="000000"/>
                      </a:solidFill>
                    </a:rPr>
                    <a:t>PROJECT OWNER</a:t>
                  </a:r>
                </a:p>
              </xdr:txBody>
            </xdr:sp>
            <xdr:sp macro="" textlink="">
              <xdr:nvSpPr>
                <xdr:cNvPr id="20" name="Rectangle 19">
                  <a:extLst>
                    <a:ext uri="{FF2B5EF4-FFF2-40B4-BE49-F238E27FC236}">
                      <a16:creationId xmlns:a16="http://schemas.microsoft.com/office/drawing/2014/main" id="{A1EFBA5C-1878-4BAF-8BBD-CE5E429A15CF}"/>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n-MY">
                      <a:solidFill>
                        <a:sysClr val="windowText" lastClr="000000"/>
                      </a:solidFill>
                    </a:rPr>
                    <a:t>AUDITOR</a:t>
                  </a:r>
                </a:p>
              </xdr:txBody>
            </xdr:sp>
          </xdr:grpSp>
          <xdr:grpSp>
            <xdr:nvGrpSpPr>
              <xdr:cNvPr id="14" name="Group 13">
                <a:extLst>
                  <a:ext uri="{FF2B5EF4-FFF2-40B4-BE49-F238E27FC236}">
                    <a16:creationId xmlns:a16="http://schemas.microsoft.com/office/drawing/2014/main" id="{BD61A597-74D4-4D84-8521-70A1F112BD13}"/>
                  </a:ext>
                </a:extLst>
              </xdr:cNvPr>
              <xdr:cNvGrpSpPr/>
            </xdr:nvGrpSpPr>
            <xdr:grpSpPr>
              <a:xfrm>
                <a:off x="50800" y="8248650"/>
                <a:ext cx="6432550" cy="628650"/>
                <a:chOff x="50800" y="8020050"/>
                <a:chExt cx="6432550" cy="228600"/>
              </a:xfrm>
            </xdr:grpSpPr>
            <xdr:sp macro="" textlink="">
              <xdr:nvSpPr>
                <xdr:cNvPr id="15" name="Rectangle 14">
                  <a:extLst>
                    <a:ext uri="{FF2B5EF4-FFF2-40B4-BE49-F238E27FC236}">
                      <a16:creationId xmlns:a16="http://schemas.microsoft.com/office/drawing/2014/main" id="{89D39228-3F0C-4660-B299-EF372C3BF820}"/>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en-MY">
                    <a:solidFill>
                      <a:sysClr val="windowText" lastClr="000000"/>
                    </a:solidFill>
                  </a:endParaRPr>
                </a:p>
              </xdr:txBody>
            </xdr:sp>
            <xdr:sp macro="" textlink="">
              <xdr:nvSpPr>
                <xdr:cNvPr id="16" name="Rectangle 15">
                  <a:extLst>
                    <a:ext uri="{FF2B5EF4-FFF2-40B4-BE49-F238E27FC236}">
                      <a16:creationId xmlns:a16="http://schemas.microsoft.com/office/drawing/2014/main" id="{862A8D97-E333-4C01-B02E-0C6447921C59}"/>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en-MY">
                    <a:solidFill>
                      <a:sysClr val="windowText" lastClr="000000"/>
                    </a:solidFill>
                  </a:endParaRPr>
                </a:p>
              </xdr:txBody>
            </xdr:sp>
            <xdr:sp macro="" textlink="">
              <xdr:nvSpPr>
                <xdr:cNvPr id="17" name="Rectangle 16">
                  <a:extLst>
                    <a:ext uri="{FF2B5EF4-FFF2-40B4-BE49-F238E27FC236}">
                      <a16:creationId xmlns:a16="http://schemas.microsoft.com/office/drawing/2014/main" id="{AD27128C-7835-4C12-9EB3-8D3BA27F745F}"/>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en-MY">
                    <a:solidFill>
                      <a:sysClr val="windowText" lastClr="000000"/>
                    </a:solidFill>
                  </a:endParaRPr>
                </a:p>
              </xdr:txBody>
            </xdr:sp>
          </xdr:grpSp>
        </xdr:grpSp>
        <xdr:grpSp>
          <xdr:nvGrpSpPr>
            <xdr:cNvPr id="9" name="Group 8">
              <a:extLst>
                <a:ext uri="{FF2B5EF4-FFF2-40B4-BE49-F238E27FC236}">
                  <a16:creationId xmlns:a16="http://schemas.microsoft.com/office/drawing/2014/main" id="{4E2306C6-5D57-4618-8098-3A3A74ABE2C4}"/>
                </a:ext>
              </a:extLst>
            </xdr:cNvPr>
            <xdr:cNvGrpSpPr/>
          </xdr:nvGrpSpPr>
          <xdr:grpSpPr>
            <a:xfrm>
              <a:off x="63500" y="8489950"/>
              <a:ext cx="6432550" cy="228600"/>
              <a:chOff x="50800" y="8020050"/>
              <a:chExt cx="6432550" cy="228600"/>
            </a:xfrm>
          </xdr:grpSpPr>
          <xdr:sp macro="" textlink="">
            <xdr:nvSpPr>
              <xdr:cNvPr id="10" name="Rectangle 9">
                <a:extLst>
                  <a:ext uri="{FF2B5EF4-FFF2-40B4-BE49-F238E27FC236}">
                    <a16:creationId xmlns:a16="http://schemas.microsoft.com/office/drawing/2014/main" id="{9550E472-B67B-4F88-A808-52492B37D904}"/>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Name:</a:t>
                </a:r>
              </a:p>
            </xdr:txBody>
          </xdr:sp>
          <xdr:sp macro="" textlink="">
            <xdr:nvSpPr>
              <xdr:cNvPr id="11" name="Rectangle 10">
                <a:extLst>
                  <a:ext uri="{FF2B5EF4-FFF2-40B4-BE49-F238E27FC236}">
                    <a16:creationId xmlns:a16="http://schemas.microsoft.com/office/drawing/2014/main" id="{5C3AE102-BB6C-4048-985D-74A406D94E84}"/>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Name:</a:t>
                </a:r>
              </a:p>
            </xdr:txBody>
          </xdr:sp>
          <xdr:sp macro="" textlink="">
            <xdr:nvSpPr>
              <xdr:cNvPr id="12" name="Rectangle 11">
                <a:extLst>
                  <a:ext uri="{FF2B5EF4-FFF2-40B4-BE49-F238E27FC236}">
                    <a16:creationId xmlns:a16="http://schemas.microsoft.com/office/drawing/2014/main" id="{04066492-B6CA-4EDA-8205-EAEF0E764000}"/>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Name:</a:t>
                </a:r>
              </a:p>
            </xdr:txBody>
          </xdr:sp>
        </xdr:grpSp>
      </xdr:grpSp>
      <xdr:grpSp>
        <xdr:nvGrpSpPr>
          <xdr:cNvPr id="4" name="Group 3">
            <a:extLst>
              <a:ext uri="{FF2B5EF4-FFF2-40B4-BE49-F238E27FC236}">
                <a16:creationId xmlns:a16="http://schemas.microsoft.com/office/drawing/2014/main" id="{54F0FDF1-3113-4B1A-BD72-ACD3BEF2BBC7}"/>
              </a:ext>
            </a:extLst>
          </xdr:cNvPr>
          <xdr:cNvGrpSpPr/>
        </xdr:nvGrpSpPr>
        <xdr:grpSpPr>
          <a:xfrm>
            <a:off x="63500" y="8718550"/>
            <a:ext cx="6432550" cy="222250"/>
            <a:chOff x="50800" y="8020050"/>
            <a:chExt cx="6432550" cy="228600"/>
          </a:xfrm>
        </xdr:grpSpPr>
        <xdr:sp macro="" textlink="">
          <xdr:nvSpPr>
            <xdr:cNvPr id="5" name="Rectangle 4">
              <a:extLst>
                <a:ext uri="{FF2B5EF4-FFF2-40B4-BE49-F238E27FC236}">
                  <a16:creationId xmlns:a16="http://schemas.microsoft.com/office/drawing/2014/main" id="{6FFE9C9F-C8C9-4BFB-A934-C20911404077}"/>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Date:</a:t>
              </a:r>
            </a:p>
          </xdr:txBody>
        </xdr:sp>
        <xdr:sp macro="" textlink="">
          <xdr:nvSpPr>
            <xdr:cNvPr id="6" name="Rectangle 5">
              <a:extLst>
                <a:ext uri="{FF2B5EF4-FFF2-40B4-BE49-F238E27FC236}">
                  <a16:creationId xmlns:a16="http://schemas.microsoft.com/office/drawing/2014/main" id="{FCC2CB14-2ABD-4820-8E80-917E031CB1EF}"/>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Date:</a:t>
              </a:r>
            </a:p>
          </xdr:txBody>
        </xdr:sp>
        <xdr:sp macro="" textlink="">
          <xdr:nvSpPr>
            <xdr:cNvPr id="7" name="Rectangle 6">
              <a:extLst>
                <a:ext uri="{FF2B5EF4-FFF2-40B4-BE49-F238E27FC236}">
                  <a16:creationId xmlns:a16="http://schemas.microsoft.com/office/drawing/2014/main" id="{D603F8F3-3911-4434-925D-135EAB48B443}"/>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Date:</a:t>
              </a:r>
            </a:p>
          </xdr:txBody>
        </xdr:sp>
      </xdr:grp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89647</xdr:colOff>
      <xdr:row>192</xdr:row>
      <xdr:rowOff>112058</xdr:rowOff>
    </xdr:from>
    <xdr:to>
      <xdr:col>8</xdr:col>
      <xdr:colOff>593911</xdr:colOff>
      <xdr:row>199</xdr:row>
      <xdr:rowOff>89646</xdr:rowOff>
    </xdr:to>
    <xdr:grpSp>
      <xdr:nvGrpSpPr>
        <xdr:cNvPr id="2" name="Group 1">
          <a:extLst>
            <a:ext uri="{FF2B5EF4-FFF2-40B4-BE49-F238E27FC236}">
              <a16:creationId xmlns:a16="http://schemas.microsoft.com/office/drawing/2014/main" id="{BE906867-2757-4E35-B026-65005BE33A26}"/>
            </a:ext>
          </a:extLst>
        </xdr:cNvPr>
        <xdr:cNvGrpSpPr/>
      </xdr:nvGrpSpPr>
      <xdr:grpSpPr>
        <a:xfrm>
          <a:off x="89647" y="7922558"/>
          <a:ext cx="6689911" cy="1311088"/>
          <a:chOff x="63500" y="7639050"/>
          <a:chExt cx="6432550" cy="1301750"/>
        </a:xfrm>
      </xdr:grpSpPr>
      <xdr:grpSp>
        <xdr:nvGrpSpPr>
          <xdr:cNvPr id="3" name="Group 2">
            <a:extLst>
              <a:ext uri="{FF2B5EF4-FFF2-40B4-BE49-F238E27FC236}">
                <a16:creationId xmlns:a16="http://schemas.microsoft.com/office/drawing/2014/main" id="{D793043F-1EE6-4E2A-A95E-A39CD86C056F}"/>
              </a:ext>
            </a:extLst>
          </xdr:cNvPr>
          <xdr:cNvGrpSpPr/>
        </xdr:nvGrpSpPr>
        <xdr:grpSpPr>
          <a:xfrm>
            <a:off x="63500" y="7639050"/>
            <a:ext cx="6432550" cy="1079500"/>
            <a:chOff x="63500" y="7639050"/>
            <a:chExt cx="6432550" cy="1079500"/>
          </a:xfrm>
        </xdr:grpSpPr>
        <xdr:grpSp>
          <xdr:nvGrpSpPr>
            <xdr:cNvPr id="8" name="Group 7">
              <a:extLst>
                <a:ext uri="{FF2B5EF4-FFF2-40B4-BE49-F238E27FC236}">
                  <a16:creationId xmlns:a16="http://schemas.microsoft.com/office/drawing/2014/main" id="{968D846E-B010-4E86-954A-E2C40F95EAA2}"/>
                </a:ext>
              </a:extLst>
            </xdr:cNvPr>
            <xdr:cNvGrpSpPr/>
          </xdr:nvGrpSpPr>
          <xdr:grpSpPr>
            <a:xfrm>
              <a:off x="63500" y="7639050"/>
              <a:ext cx="6432550" cy="857250"/>
              <a:chOff x="50800" y="8020050"/>
              <a:chExt cx="6432550" cy="857250"/>
            </a:xfrm>
          </xdr:grpSpPr>
          <xdr:grpSp>
            <xdr:nvGrpSpPr>
              <xdr:cNvPr id="13" name="Group 12">
                <a:extLst>
                  <a:ext uri="{FF2B5EF4-FFF2-40B4-BE49-F238E27FC236}">
                    <a16:creationId xmlns:a16="http://schemas.microsoft.com/office/drawing/2014/main" id="{AA8396E6-9DBA-465B-98F5-252335E266FF}"/>
                  </a:ext>
                </a:extLst>
              </xdr:cNvPr>
              <xdr:cNvGrpSpPr/>
            </xdr:nvGrpSpPr>
            <xdr:grpSpPr>
              <a:xfrm>
                <a:off x="50800" y="8020050"/>
                <a:ext cx="6432550" cy="228600"/>
                <a:chOff x="50800" y="8020050"/>
                <a:chExt cx="6432550" cy="228600"/>
              </a:xfrm>
            </xdr:grpSpPr>
            <xdr:sp macro="" textlink="">
              <xdr:nvSpPr>
                <xdr:cNvPr id="18" name="Rectangle 17">
                  <a:extLst>
                    <a:ext uri="{FF2B5EF4-FFF2-40B4-BE49-F238E27FC236}">
                      <a16:creationId xmlns:a16="http://schemas.microsoft.com/office/drawing/2014/main" id="{955A7D8A-E71A-476B-87CE-8A09F9AD9B4D}"/>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n-MY">
                      <a:solidFill>
                        <a:sysClr val="windowText" lastClr="000000"/>
                      </a:solidFill>
                    </a:rPr>
                    <a:t>FACILITATOR</a:t>
                  </a:r>
                </a:p>
              </xdr:txBody>
            </xdr:sp>
            <xdr:sp macro="" textlink="">
              <xdr:nvSpPr>
                <xdr:cNvPr id="19" name="Rectangle 18">
                  <a:extLst>
                    <a:ext uri="{FF2B5EF4-FFF2-40B4-BE49-F238E27FC236}">
                      <a16:creationId xmlns:a16="http://schemas.microsoft.com/office/drawing/2014/main" id="{4AE42EA7-E320-46D9-92FC-D4AE94762343}"/>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n-MY">
                      <a:solidFill>
                        <a:sysClr val="windowText" lastClr="000000"/>
                      </a:solidFill>
                    </a:rPr>
                    <a:t>PROJECT OWNER</a:t>
                  </a:r>
                </a:p>
              </xdr:txBody>
            </xdr:sp>
            <xdr:sp macro="" textlink="">
              <xdr:nvSpPr>
                <xdr:cNvPr id="20" name="Rectangle 19">
                  <a:extLst>
                    <a:ext uri="{FF2B5EF4-FFF2-40B4-BE49-F238E27FC236}">
                      <a16:creationId xmlns:a16="http://schemas.microsoft.com/office/drawing/2014/main" id="{9B155ACB-E39A-47AA-A383-33450E077FA4}"/>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n-MY">
                      <a:solidFill>
                        <a:sysClr val="windowText" lastClr="000000"/>
                      </a:solidFill>
                    </a:rPr>
                    <a:t>AUDITOR</a:t>
                  </a:r>
                </a:p>
              </xdr:txBody>
            </xdr:sp>
          </xdr:grpSp>
          <xdr:grpSp>
            <xdr:nvGrpSpPr>
              <xdr:cNvPr id="14" name="Group 13">
                <a:extLst>
                  <a:ext uri="{FF2B5EF4-FFF2-40B4-BE49-F238E27FC236}">
                    <a16:creationId xmlns:a16="http://schemas.microsoft.com/office/drawing/2014/main" id="{595A85EE-8944-430D-8BF1-15CA9061FCAD}"/>
                  </a:ext>
                </a:extLst>
              </xdr:cNvPr>
              <xdr:cNvGrpSpPr/>
            </xdr:nvGrpSpPr>
            <xdr:grpSpPr>
              <a:xfrm>
                <a:off x="50800" y="8248650"/>
                <a:ext cx="6432550" cy="628650"/>
                <a:chOff x="50800" y="8020050"/>
                <a:chExt cx="6432550" cy="228600"/>
              </a:xfrm>
            </xdr:grpSpPr>
            <xdr:sp macro="" textlink="">
              <xdr:nvSpPr>
                <xdr:cNvPr id="15" name="Rectangle 14">
                  <a:extLst>
                    <a:ext uri="{FF2B5EF4-FFF2-40B4-BE49-F238E27FC236}">
                      <a16:creationId xmlns:a16="http://schemas.microsoft.com/office/drawing/2014/main" id="{96D515A6-6560-412A-BC98-C4C767119F10}"/>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en-MY">
                    <a:solidFill>
                      <a:sysClr val="windowText" lastClr="000000"/>
                    </a:solidFill>
                  </a:endParaRPr>
                </a:p>
              </xdr:txBody>
            </xdr:sp>
            <xdr:sp macro="" textlink="">
              <xdr:nvSpPr>
                <xdr:cNvPr id="16" name="Rectangle 15">
                  <a:extLst>
                    <a:ext uri="{FF2B5EF4-FFF2-40B4-BE49-F238E27FC236}">
                      <a16:creationId xmlns:a16="http://schemas.microsoft.com/office/drawing/2014/main" id="{8BFF7FF0-577E-4185-A9A0-F3812D926724}"/>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en-MY">
                    <a:solidFill>
                      <a:sysClr val="windowText" lastClr="000000"/>
                    </a:solidFill>
                  </a:endParaRPr>
                </a:p>
              </xdr:txBody>
            </xdr:sp>
            <xdr:sp macro="" textlink="">
              <xdr:nvSpPr>
                <xdr:cNvPr id="17" name="Rectangle 16">
                  <a:extLst>
                    <a:ext uri="{FF2B5EF4-FFF2-40B4-BE49-F238E27FC236}">
                      <a16:creationId xmlns:a16="http://schemas.microsoft.com/office/drawing/2014/main" id="{4180C8AF-1073-44D7-9A72-4D7B6BA75484}"/>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en-MY">
                    <a:solidFill>
                      <a:sysClr val="windowText" lastClr="000000"/>
                    </a:solidFill>
                  </a:endParaRPr>
                </a:p>
              </xdr:txBody>
            </xdr:sp>
          </xdr:grpSp>
        </xdr:grpSp>
        <xdr:grpSp>
          <xdr:nvGrpSpPr>
            <xdr:cNvPr id="9" name="Group 8">
              <a:extLst>
                <a:ext uri="{FF2B5EF4-FFF2-40B4-BE49-F238E27FC236}">
                  <a16:creationId xmlns:a16="http://schemas.microsoft.com/office/drawing/2014/main" id="{9340B1C6-AA34-4347-8A77-19CECFC34FAA}"/>
                </a:ext>
              </a:extLst>
            </xdr:cNvPr>
            <xdr:cNvGrpSpPr/>
          </xdr:nvGrpSpPr>
          <xdr:grpSpPr>
            <a:xfrm>
              <a:off x="63500" y="8489950"/>
              <a:ext cx="6432550" cy="228600"/>
              <a:chOff x="50800" y="8020050"/>
              <a:chExt cx="6432550" cy="228600"/>
            </a:xfrm>
          </xdr:grpSpPr>
          <xdr:sp macro="" textlink="">
            <xdr:nvSpPr>
              <xdr:cNvPr id="10" name="Rectangle 9">
                <a:extLst>
                  <a:ext uri="{FF2B5EF4-FFF2-40B4-BE49-F238E27FC236}">
                    <a16:creationId xmlns:a16="http://schemas.microsoft.com/office/drawing/2014/main" id="{5EE1189C-8408-485D-9E2F-1E9D9C1958E8}"/>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Name:</a:t>
                </a:r>
              </a:p>
            </xdr:txBody>
          </xdr:sp>
          <xdr:sp macro="" textlink="">
            <xdr:nvSpPr>
              <xdr:cNvPr id="11" name="Rectangle 10">
                <a:extLst>
                  <a:ext uri="{FF2B5EF4-FFF2-40B4-BE49-F238E27FC236}">
                    <a16:creationId xmlns:a16="http://schemas.microsoft.com/office/drawing/2014/main" id="{81C0521B-7E91-45D1-BBDB-EFE5721F0F9A}"/>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Name:</a:t>
                </a:r>
              </a:p>
            </xdr:txBody>
          </xdr:sp>
          <xdr:sp macro="" textlink="">
            <xdr:nvSpPr>
              <xdr:cNvPr id="12" name="Rectangle 11">
                <a:extLst>
                  <a:ext uri="{FF2B5EF4-FFF2-40B4-BE49-F238E27FC236}">
                    <a16:creationId xmlns:a16="http://schemas.microsoft.com/office/drawing/2014/main" id="{E4E09740-E5FA-4491-948C-92D207B2F04D}"/>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Name:</a:t>
                </a:r>
              </a:p>
            </xdr:txBody>
          </xdr:sp>
        </xdr:grpSp>
      </xdr:grpSp>
      <xdr:grpSp>
        <xdr:nvGrpSpPr>
          <xdr:cNvPr id="4" name="Group 3">
            <a:extLst>
              <a:ext uri="{FF2B5EF4-FFF2-40B4-BE49-F238E27FC236}">
                <a16:creationId xmlns:a16="http://schemas.microsoft.com/office/drawing/2014/main" id="{63FD1A4D-38CD-44AB-A1EC-164D6FE61EA3}"/>
              </a:ext>
            </a:extLst>
          </xdr:cNvPr>
          <xdr:cNvGrpSpPr/>
        </xdr:nvGrpSpPr>
        <xdr:grpSpPr>
          <a:xfrm>
            <a:off x="63500" y="8718550"/>
            <a:ext cx="6432550" cy="222250"/>
            <a:chOff x="50800" y="8020050"/>
            <a:chExt cx="6432550" cy="228600"/>
          </a:xfrm>
        </xdr:grpSpPr>
        <xdr:sp macro="" textlink="">
          <xdr:nvSpPr>
            <xdr:cNvPr id="5" name="Rectangle 4">
              <a:extLst>
                <a:ext uri="{FF2B5EF4-FFF2-40B4-BE49-F238E27FC236}">
                  <a16:creationId xmlns:a16="http://schemas.microsoft.com/office/drawing/2014/main" id="{D88F4D94-778D-4E4A-8922-154FEEC3FB56}"/>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Date:</a:t>
              </a:r>
            </a:p>
          </xdr:txBody>
        </xdr:sp>
        <xdr:sp macro="" textlink="">
          <xdr:nvSpPr>
            <xdr:cNvPr id="6" name="Rectangle 5">
              <a:extLst>
                <a:ext uri="{FF2B5EF4-FFF2-40B4-BE49-F238E27FC236}">
                  <a16:creationId xmlns:a16="http://schemas.microsoft.com/office/drawing/2014/main" id="{9FD86A38-22FB-4D29-B998-4E749924DCFA}"/>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Date:</a:t>
              </a:r>
            </a:p>
          </xdr:txBody>
        </xdr:sp>
        <xdr:sp macro="" textlink="">
          <xdr:nvSpPr>
            <xdr:cNvPr id="7" name="Rectangle 6">
              <a:extLst>
                <a:ext uri="{FF2B5EF4-FFF2-40B4-BE49-F238E27FC236}">
                  <a16:creationId xmlns:a16="http://schemas.microsoft.com/office/drawing/2014/main" id="{D49668EB-E1F1-4E0B-A458-A8EE90D36AA3}"/>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Date:</a:t>
              </a:r>
            </a:p>
          </xdr:txBody>
        </xdr:sp>
      </xdr:grp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28575</xdr:colOff>
      <xdr:row>34</xdr:row>
      <xdr:rowOff>57150</xdr:rowOff>
    </xdr:from>
    <xdr:to>
      <xdr:col>8</xdr:col>
      <xdr:colOff>600075</xdr:colOff>
      <xdr:row>49</xdr:row>
      <xdr:rowOff>41031</xdr:rowOff>
    </xdr:to>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276225</xdr:colOff>
      <xdr:row>0</xdr:row>
      <xdr:rowOff>104775</xdr:rowOff>
    </xdr:from>
    <xdr:to>
      <xdr:col>1</xdr:col>
      <xdr:colOff>400050</xdr:colOff>
      <xdr:row>2</xdr:row>
      <xdr:rowOff>123825</xdr:rowOff>
    </xdr:to>
    <xdr:pic>
      <xdr:nvPicPr>
        <xdr:cNvPr id="2" name="Picture 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104775"/>
          <a:ext cx="771525"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489857</xdr:colOff>
      <xdr:row>30</xdr:row>
      <xdr:rowOff>14286</xdr:rowOff>
    </xdr:from>
    <xdr:to>
      <xdr:col>17</xdr:col>
      <xdr:colOff>136071</xdr:colOff>
      <xdr:row>50</xdr:row>
      <xdr:rowOff>0</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52</xdr:row>
      <xdr:rowOff>0</xdr:rowOff>
    </xdr:from>
    <xdr:to>
      <xdr:col>17</xdr:col>
      <xdr:colOff>293914</xdr:colOff>
      <xdr:row>71</xdr:row>
      <xdr:rowOff>176214</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66675</xdr:colOff>
      <xdr:row>30</xdr:row>
      <xdr:rowOff>161925</xdr:rowOff>
    </xdr:from>
    <xdr:to>
      <xdr:col>10</xdr:col>
      <xdr:colOff>104775</xdr:colOff>
      <xdr:row>32</xdr:row>
      <xdr:rowOff>123825</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2009775" y="6076950"/>
          <a:ext cx="5572125"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Same Baseline year for each element, consider population changes.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63196</xdr:colOff>
      <xdr:row>3</xdr:row>
      <xdr:rowOff>116864</xdr:rowOff>
    </xdr:from>
    <xdr:to>
      <xdr:col>8</xdr:col>
      <xdr:colOff>739587</xdr:colOff>
      <xdr:row>9</xdr:row>
      <xdr:rowOff>43595</xdr:rowOff>
    </xdr:to>
    <xdr:sp macro="" textlink="">
      <xdr:nvSpPr>
        <xdr:cNvPr id="21" name="Rectangle 20">
          <a:extLst>
            <a:ext uri="{FF2B5EF4-FFF2-40B4-BE49-F238E27FC236}">
              <a16:creationId xmlns:a16="http://schemas.microsoft.com/office/drawing/2014/main" id="{00000000-0008-0000-0200-000015000000}"/>
            </a:ext>
          </a:extLst>
        </xdr:cNvPr>
        <xdr:cNvSpPr/>
      </xdr:nvSpPr>
      <xdr:spPr>
        <a:xfrm>
          <a:off x="63196" y="688364"/>
          <a:ext cx="7198215" cy="1069731"/>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0"/>
            </a:spcAft>
          </a:pPr>
          <a:r>
            <a:rPr lang="en-MY" sz="1050" b="1">
              <a:solidFill>
                <a:srgbClr val="333333"/>
              </a:solidFill>
              <a:effectLst/>
              <a:ea typeface="Calibri" panose="020F0502020204030204" pitchFamily="34" charset="0"/>
              <a:cs typeface="Times New Roman" panose="02020603050405020304" pitchFamily="18" charset="0"/>
            </a:rPr>
            <a:t>USER GUIDE:</a:t>
          </a:r>
        </a:p>
        <a:p>
          <a:pPr algn="ctr">
            <a:lnSpc>
              <a:spcPct val="115000"/>
            </a:lnSpc>
            <a:spcAft>
              <a:spcPts val="0"/>
            </a:spcAft>
          </a:pPr>
          <a:r>
            <a:rPr lang="en-MY" sz="1050">
              <a:solidFill>
                <a:srgbClr val="333333"/>
              </a:solidFill>
              <a:effectLst/>
              <a:ea typeface="Calibri" panose="020F0502020204030204" pitchFamily="34" charset="0"/>
              <a:cs typeface="Times New Roman" panose="02020603050405020304" pitchFamily="18" charset="0"/>
            </a:rPr>
            <a:t>This data file will be used to support Local Authorities, Universities and Other Users in calculating the greenhouse gas emissions according to the requirements of the Low Carbon Cities 2030 Challenge (LCC2030C). </a:t>
          </a:r>
        </a:p>
        <a:p>
          <a:pPr algn="ctr">
            <a:lnSpc>
              <a:spcPct val="115000"/>
            </a:lnSpc>
            <a:spcAft>
              <a:spcPts val="0"/>
            </a:spcAft>
          </a:pPr>
          <a:r>
            <a:rPr lang="en-MY" sz="1050">
              <a:solidFill>
                <a:srgbClr val="333333"/>
              </a:solidFill>
              <a:effectLst/>
              <a:ea typeface="Calibri" panose="020F0502020204030204" pitchFamily="34" charset="0"/>
              <a:cs typeface="Times New Roman" panose="02020603050405020304" pitchFamily="18" charset="0"/>
            </a:rPr>
            <a:t>The output from this file will be used in the Provisional and Diamond Report. This data file will also be used as the main reference document during the Provisional &amp; Diamond Audit.</a:t>
          </a:r>
        </a:p>
      </xdr:txBody>
    </xdr:sp>
    <xdr:clientData/>
  </xdr:twoCellAnchor>
  <xdr:twoCellAnchor>
    <xdr:from>
      <xdr:col>0</xdr:col>
      <xdr:colOff>80294</xdr:colOff>
      <xdr:row>48</xdr:row>
      <xdr:rowOff>46661</xdr:rowOff>
    </xdr:from>
    <xdr:to>
      <xdr:col>4</xdr:col>
      <xdr:colOff>776351</xdr:colOff>
      <xdr:row>59</xdr:row>
      <xdr:rowOff>148249</xdr:rowOff>
    </xdr:to>
    <xdr:graphicFrame macro="">
      <xdr:nvGraphicFramePr>
        <xdr:cNvPr id="22" name="Chart 21">
          <a:extLst>
            <a:ext uri="{FF2B5EF4-FFF2-40B4-BE49-F238E27FC236}">
              <a16:creationId xmlns:a16="http://schemas.microsoft.com/office/drawing/2014/main" id="{00000000-0008-0000-02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41462</xdr:colOff>
      <xdr:row>0</xdr:row>
      <xdr:rowOff>41462</xdr:rowOff>
    </xdr:from>
    <xdr:to>
      <xdr:col>8</xdr:col>
      <xdr:colOff>750794</xdr:colOff>
      <xdr:row>3</xdr:row>
      <xdr:rowOff>73212</xdr:rowOff>
    </xdr:to>
    <xdr:grpSp>
      <xdr:nvGrpSpPr>
        <xdr:cNvPr id="37" name="Group 36">
          <a:extLst>
            <a:ext uri="{FF2B5EF4-FFF2-40B4-BE49-F238E27FC236}">
              <a16:creationId xmlns:a16="http://schemas.microsoft.com/office/drawing/2014/main" id="{00000000-0008-0000-0200-000025000000}"/>
            </a:ext>
          </a:extLst>
        </xdr:cNvPr>
        <xdr:cNvGrpSpPr/>
      </xdr:nvGrpSpPr>
      <xdr:grpSpPr>
        <a:xfrm>
          <a:off x="41462" y="41462"/>
          <a:ext cx="7231156" cy="603250"/>
          <a:chOff x="0" y="0"/>
          <a:chExt cx="5714987" cy="600707"/>
        </a:xfrm>
      </xdr:grpSpPr>
      <xdr:grpSp>
        <xdr:nvGrpSpPr>
          <xdr:cNvPr id="38" name="Group 37">
            <a:extLst>
              <a:ext uri="{FF2B5EF4-FFF2-40B4-BE49-F238E27FC236}">
                <a16:creationId xmlns:a16="http://schemas.microsoft.com/office/drawing/2014/main" id="{00000000-0008-0000-0200-000026000000}"/>
              </a:ext>
            </a:extLst>
          </xdr:cNvPr>
          <xdr:cNvGrpSpPr/>
        </xdr:nvGrpSpPr>
        <xdr:grpSpPr>
          <a:xfrm>
            <a:off x="0" y="0"/>
            <a:ext cx="3471454" cy="600707"/>
            <a:chOff x="0" y="0"/>
            <a:chExt cx="3708742" cy="600707"/>
          </a:xfrm>
        </xdr:grpSpPr>
        <xdr:sp macro="" textlink="">
          <xdr:nvSpPr>
            <xdr:cNvPr id="49" name="Rectangle 48">
              <a:extLst>
                <a:ext uri="{FF2B5EF4-FFF2-40B4-BE49-F238E27FC236}">
                  <a16:creationId xmlns:a16="http://schemas.microsoft.com/office/drawing/2014/main" id="{00000000-0008-0000-0200-000031000000}"/>
                </a:ext>
              </a:extLst>
            </xdr:cNvPr>
            <xdr:cNvSpPr/>
          </xdr:nvSpPr>
          <xdr:spPr>
            <a:xfrm>
              <a:off x="0" y="0"/>
              <a:ext cx="880045" cy="600707"/>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en-MY"/>
            </a:p>
          </xdr:txBody>
        </xdr:sp>
        <xdr:sp macro="" textlink="">
          <xdr:nvSpPr>
            <xdr:cNvPr id="48" name="Rectangle 47">
              <a:extLst>
                <a:ext uri="{FF2B5EF4-FFF2-40B4-BE49-F238E27FC236}">
                  <a16:creationId xmlns:a16="http://schemas.microsoft.com/office/drawing/2014/main" id="{00000000-0008-0000-0200-000030000000}"/>
                </a:ext>
              </a:extLst>
            </xdr:cNvPr>
            <xdr:cNvSpPr/>
          </xdr:nvSpPr>
          <xdr:spPr>
            <a:xfrm>
              <a:off x="880102" y="0"/>
              <a:ext cx="2828640" cy="600707"/>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15000"/>
                </a:lnSpc>
                <a:spcAft>
                  <a:spcPts val="0"/>
                </a:spcAft>
              </a:pPr>
              <a:r>
                <a:rPr lang="en-MY" sz="1400" b="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LCC 2030 CHALLENGE </a:t>
              </a:r>
              <a:endParaRPr lang="en-MY" sz="1100">
                <a:solidFill>
                  <a:srgbClr val="333333"/>
                </a:solidFill>
                <a:effectLst/>
                <a:ea typeface="Calibri" panose="020F0502020204030204" pitchFamily="34" charset="0"/>
                <a:cs typeface="Times New Roman" panose="02020603050405020304" pitchFamily="18" charset="0"/>
              </a:endParaRPr>
            </a:p>
            <a:p>
              <a:pPr algn="ctr">
                <a:lnSpc>
                  <a:spcPct val="115000"/>
                </a:lnSpc>
                <a:spcAft>
                  <a:spcPts val="0"/>
                </a:spcAft>
              </a:pPr>
              <a:r>
                <a:rPr lang="en-MY" sz="1400" b="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DATA FILE (LCC ZONE)</a:t>
              </a:r>
              <a:endParaRPr lang="en-MY" sz="1100">
                <a:solidFill>
                  <a:srgbClr val="333333"/>
                </a:solidFill>
                <a:effectLst/>
                <a:ea typeface="Calibri" panose="020F0502020204030204" pitchFamily="34" charset="0"/>
                <a:cs typeface="Times New Roman" panose="02020603050405020304" pitchFamily="18" charset="0"/>
              </a:endParaRPr>
            </a:p>
          </xdr:txBody>
        </xdr:sp>
      </xdr:grpSp>
      <xdr:grpSp>
        <xdr:nvGrpSpPr>
          <xdr:cNvPr id="39" name="Group 38">
            <a:extLst>
              <a:ext uri="{FF2B5EF4-FFF2-40B4-BE49-F238E27FC236}">
                <a16:creationId xmlns:a16="http://schemas.microsoft.com/office/drawing/2014/main" id="{00000000-0008-0000-0200-000027000000}"/>
              </a:ext>
            </a:extLst>
          </xdr:cNvPr>
          <xdr:cNvGrpSpPr/>
        </xdr:nvGrpSpPr>
        <xdr:grpSpPr>
          <a:xfrm>
            <a:off x="3471635" y="0"/>
            <a:ext cx="864247" cy="600075"/>
            <a:chOff x="3471635" y="0"/>
            <a:chExt cx="917160" cy="514350"/>
          </a:xfrm>
        </xdr:grpSpPr>
        <xdr:sp macro="" textlink="">
          <xdr:nvSpPr>
            <xdr:cNvPr id="44" name="Rectangle 43">
              <a:extLst>
                <a:ext uri="{FF2B5EF4-FFF2-40B4-BE49-F238E27FC236}">
                  <a16:creationId xmlns:a16="http://schemas.microsoft.com/office/drawing/2014/main" id="{00000000-0008-0000-0200-00002C000000}"/>
                </a:ext>
              </a:extLst>
            </xdr:cNvPr>
            <xdr:cNvSpPr/>
          </xdr:nvSpPr>
          <xdr:spPr>
            <a:xfrm>
              <a:off x="3471635" y="0"/>
              <a:ext cx="917160" cy="17144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n-MY" sz="80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REG. NO. </a:t>
              </a:r>
              <a:endParaRPr lang="en-MY" sz="1100">
                <a:solidFill>
                  <a:srgbClr val="333333"/>
                </a:solidFill>
                <a:effectLst/>
                <a:ea typeface="Calibri" panose="020F0502020204030204" pitchFamily="34" charset="0"/>
                <a:cs typeface="Times New Roman" panose="02020603050405020304" pitchFamily="18" charset="0"/>
              </a:endParaRPr>
            </a:p>
          </xdr:txBody>
        </xdr:sp>
        <xdr:sp macro="" textlink="">
          <xdr:nvSpPr>
            <xdr:cNvPr id="45" name="Rectangle 44">
              <a:extLst>
                <a:ext uri="{FF2B5EF4-FFF2-40B4-BE49-F238E27FC236}">
                  <a16:creationId xmlns:a16="http://schemas.microsoft.com/office/drawing/2014/main" id="{00000000-0008-0000-0200-00002D000000}"/>
                </a:ext>
              </a:extLst>
            </xdr:cNvPr>
            <xdr:cNvSpPr/>
          </xdr:nvSpPr>
          <xdr:spPr>
            <a:xfrm>
              <a:off x="3471635" y="171450"/>
              <a:ext cx="917160" cy="17144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n-MY" sz="80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REVISION</a:t>
              </a:r>
              <a:endParaRPr lang="en-MY" sz="1100">
                <a:solidFill>
                  <a:srgbClr val="333333"/>
                </a:solidFill>
                <a:effectLst/>
                <a:ea typeface="Calibri" panose="020F0502020204030204" pitchFamily="34" charset="0"/>
                <a:cs typeface="Times New Roman" panose="02020603050405020304" pitchFamily="18" charset="0"/>
              </a:endParaRPr>
            </a:p>
          </xdr:txBody>
        </xdr:sp>
        <xdr:sp macro="" textlink="">
          <xdr:nvSpPr>
            <xdr:cNvPr id="46" name="Rectangle 45">
              <a:extLst>
                <a:ext uri="{FF2B5EF4-FFF2-40B4-BE49-F238E27FC236}">
                  <a16:creationId xmlns:a16="http://schemas.microsoft.com/office/drawing/2014/main" id="{00000000-0008-0000-0200-00002E000000}"/>
                </a:ext>
              </a:extLst>
            </xdr:cNvPr>
            <xdr:cNvSpPr/>
          </xdr:nvSpPr>
          <xdr:spPr>
            <a:xfrm>
              <a:off x="3471635" y="342901"/>
              <a:ext cx="917160" cy="17144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n-MY" sz="80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DATE</a:t>
              </a:r>
              <a:endParaRPr lang="en-MY" sz="1100">
                <a:solidFill>
                  <a:srgbClr val="333333"/>
                </a:solidFill>
                <a:effectLst/>
                <a:ea typeface="Calibri" panose="020F0502020204030204" pitchFamily="34" charset="0"/>
                <a:cs typeface="Times New Roman" panose="02020603050405020304" pitchFamily="18" charset="0"/>
              </a:endParaRPr>
            </a:p>
          </xdr:txBody>
        </xdr:sp>
      </xdr:grpSp>
      <xdr:grpSp>
        <xdr:nvGrpSpPr>
          <xdr:cNvPr id="40" name="Group 39">
            <a:extLst>
              <a:ext uri="{FF2B5EF4-FFF2-40B4-BE49-F238E27FC236}">
                <a16:creationId xmlns:a16="http://schemas.microsoft.com/office/drawing/2014/main" id="{00000000-0008-0000-0200-000028000000}"/>
              </a:ext>
            </a:extLst>
          </xdr:cNvPr>
          <xdr:cNvGrpSpPr/>
        </xdr:nvGrpSpPr>
        <xdr:grpSpPr>
          <a:xfrm>
            <a:off x="4336905" y="0"/>
            <a:ext cx="1378082" cy="599654"/>
            <a:chOff x="4336905" y="0"/>
            <a:chExt cx="955476" cy="513989"/>
          </a:xfrm>
        </xdr:grpSpPr>
        <xdr:sp macro="" textlink="">
          <xdr:nvSpPr>
            <xdr:cNvPr id="41" name="Rectangle 40">
              <a:extLst>
                <a:ext uri="{FF2B5EF4-FFF2-40B4-BE49-F238E27FC236}">
                  <a16:creationId xmlns:a16="http://schemas.microsoft.com/office/drawing/2014/main" id="{00000000-0008-0000-0200-000029000000}"/>
                </a:ext>
              </a:extLst>
            </xdr:cNvPr>
            <xdr:cNvSpPr/>
          </xdr:nvSpPr>
          <xdr:spPr>
            <a:xfrm>
              <a:off x="4336905" y="0"/>
              <a:ext cx="955476" cy="17144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n-MY" sz="80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MGTC/DC/REC/LCC-011</a:t>
              </a:r>
              <a:endParaRPr lang="en-MY" sz="1100">
                <a:solidFill>
                  <a:srgbClr val="333333"/>
                </a:solidFill>
                <a:effectLst/>
                <a:ea typeface="Calibri" panose="020F0502020204030204" pitchFamily="34" charset="0"/>
                <a:cs typeface="Times New Roman" panose="02020603050405020304" pitchFamily="18" charset="0"/>
              </a:endParaRPr>
            </a:p>
          </xdr:txBody>
        </xdr:sp>
        <xdr:sp macro="" textlink="">
          <xdr:nvSpPr>
            <xdr:cNvPr id="42" name="Rectangle 41">
              <a:extLst>
                <a:ext uri="{FF2B5EF4-FFF2-40B4-BE49-F238E27FC236}">
                  <a16:creationId xmlns:a16="http://schemas.microsoft.com/office/drawing/2014/main" id="{00000000-0008-0000-0200-00002A000000}"/>
                </a:ext>
              </a:extLst>
            </xdr:cNvPr>
            <xdr:cNvSpPr/>
          </xdr:nvSpPr>
          <xdr:spPr>
            <a:xfrm>
              <a:off x="4336906" y="171269"/>
              <a:ext cx="955475" cy="175924"/>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15000"/>
                </a:lnSpc>
                <a:spcAft>
                  <a:spcPts val="1000"/>
                </a:spcAft>
              </a:pPr>
              <a:r>
                <a:rPr lang="en-MY" sz="1000">
                  <a:solidFill>
                    <a:sysClr val="windowText" lastClr="000000"/>
                  </a:solidFill>
                  <a:effectLst/>
                  <a:ea typeface="Calibri" panose="020F0502020204030204" pitchFamily="34" charset="0"/>
                  <a:cs typeface="Times New Roman" panose="02020603050405020304" pitchFamily="18" charset="0"/>
                </a:rPr>
                <a:t>1</a:t>
              </a:r>
              <a:endParaRPr lang="en-MY" sz="1050">
                <a:solidFill>
                  <a:sysClr val="windowText" lastClr="000000"/>
                </a:solidFill>
                <a:effectLst/>
                <a:ea typeface="Calibri" panose="020F0502020204030204" pitchFamily="34" charset="0"/>
                <a:cs typeface="Times New Roman" panose="02020603050405020304" pitchFamily="18" charset="0"/>
              </a:endParaRPr>
            </a:p>
          </xdr:txBody>
        </xdr:sp>
        <xdr:sp macro="" textlink="">
          <xdr:nvSpPr>
            <xdr:cNvPr id="43" name="Rectangle 42">
              <a:extLst>
                <a:ext uri="{FF2B5EF4-FFF2-40B4-BE49-F238E27FC236}">
                  <a16:creationId xmlns:a16="http://schemas.microsoft.com/office/drawing/2014/main" id="{00000000-0008-0000-0200-00002B000000}"/>
                </a:ext>
              </a:extLst>
            </xdr:cNvPr>
            <xdr:cNvSpPr/>
          </xdr:nvSpPr>
          <xdr:spPr>
            <a:xfrm>
              <a:off x="4336906" y="342540"/>
              <a:ext cx="955475" cy="17144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n-MY" sz="8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09/06/2022</a:t>
              </a:r>
            </a:p>
          </xdr:txBody>
        </xdr:sp>
      </xdr:grpSp>
    </xdr:grpSp>
    <xdr:clientData/>
  </xdr:twoCellAnchor>
  <xdr:twoCellAnchor>
    <xdr:from>
      <xdr:col>4</xdr:col>
      <xdr:colOff>833997</xdr:colOff>
      <xdr:row>48</xdr:row>
      <xdr:rowOff>44824</xdr:rowOff>
    </xdr:from>
    <xdr:to>
      <xdr:col>8</xdr:col>
      <xdr:colOff>649941</xdr:colOff>
      <xdr:row>59</xdr:row>
      <xdr:rowOff>134470</xdr:rowOff>
    </xdr:to>
    <xdr:graphicFrame macro="">
      <xdr:nvGraphicFramePr>
        <xdr:cNvPr id="51" name="Chart 50">
          <a:extLst>
            <a:ext uri="{FF2B5EF4-FFF2-40B4-BE49-F238E27FC236}">
              <a16:creationId xmlns:a16="http://schemas.microsoft.com/office/drawing/2014/main" id="{00000000-0008-0000-0200-00003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164727</xdr:colOff>
      <xdr:row>0</xdr:row>
      <xdr:rowOff>142315</xdr:rowOff>
    </xdr:from>
    <xdr:to>
      <xdr:col>1</xdr:col>
      <xdr:colOff>122668</xdr:colOff>
      <xdr:row>3</xdr:row>
      <xdr:rowOff>17220</xdr:rowOff>
    </xdr:to>
    <xdr:pic>
      <xdr:nvPicPr>
        <xdr:cNvPr id="19" name="Google Shape;61;p1">
          <a:extLst>
            <a:ext uri="{FF2B5EF4-FFF2-40B4-BE49-F238E27FC236}">
              <a16:creationId xmlns:a16="http://schemas.microsoft.com/office/drawing/2014/main" id="{83060D29-259B-4706-9D13-9B73516EA24E}"/>
            </a:ext>
          </a:extLst>
        </xdr:cNvPr>
        <xdr:cNvPicPr/>
      </xdr:nvPicPr>
      <xdr:blipFill rotWithShape="1">
        <a:blip xmlns:r="http://schemas.openxmlformats.org/officeDocument/2006/relationships" r:embed="rId3">
          <a:alphaModFix/>
        </a:blip>
        <a:srcRect l="43231"/>
        <a:stretch/>
      </xdr:blipFill>
      <xdr:spPr bwMode="auto">
        <a:xfrm>
          <a:off x="164727" y="142315"/>
          <a:ext cx="775970" cy="446405"/>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78441</xdr:colOff>
      <xdr:row>59</xdr:row>
      <xdr:rowOff>112059</xdr:rowOff>
    </xdr:from>
    <xdr:to>
      <xdr:col>8</xdr:col>
      <xdr:colOff>705969</xdr:colOff>
      <xdr:row>66</xdr:row>
      <xdr:rowOff>89647</xdr:rowOff>
    </xdr:to>
    <xdr:grpSp>
      <xdr:nvGrpSpPr>
        <xdr:cNvPr id="18" name="Group 17">
          <a:extLst>
            <a:ext uri="{FF2B5EF4-FFF2-40B4-BE49-F238E27FC236}">
              <a16:creationId xmlns:a16="http://schemas.microsoft.com/office/drawing/2014/main" id="{AB769CEB-4494-4464-97A4-D0EC980CDE5C}"/>
            </a:ext>
          </a:extLst>
        </xdr:cNvPr>
        <xdr:cNvGrpSpPr/>
      </xdr:nvGrpSpPr>
      <xdr:grpSpPr>
        <a:xfrm>
          <a:off x="78441" y="9928412"/>
          <a:ext cx="7149352" cy="1311088"/>
          <a:chOff x="63500" y="7639050"/>
          <a:chExt cx="6432550" cy="1301750"/>
        </a:xfrm>
      </xdr:grpSpPr>
      <xdr:grpSp>
        <xdr:nvGrpSpPr>
          <xdr:cNvPr id="20" name="Group 19">
            <a:extLst>
              <a:ext uri="{FF2B5EF4-FFF2-40B4-BE49-F238E27FC236}">
                <a16:creationId xmlns:a16="http://schemas.microsoft.com/office/drawing/2014/main" id="{6E3D178B-29B6-4974-8A83-BEFC4F0140FE}"/>
              </a:ext>
            </a:extLst>
          </xdr:cNvPr>
          <xdr:cNvGrpSpPr/>
        </xdr:nvGrpSpPr>
        <xdr:grpSpPr>
          <a:xfrm>
            <a:off x="63500" y="7639050"/>
            <a:ext cx="6432550" cy="1079500"/>
            <a:chOff x="63500" y="7639050"/>
            <a:chExt cx="6432550" cy="1079500"/>
          </a:xfrm>
        </xdr:grpSpPr>
        <xdr:grpSp>
          <xdr:nvGrpSpPr>
            <xdr:cNvPr id="27" name="Group 26">
              <a:extLst>
                <a:ext uri="{FF2B5EF4-FFF2-40B4-BE49-F238E27FC236}">
                  <a16:creationId xmlns:a16="http://schemas.microsoft.com/office/drawing/2014/main" id="{B499376C-E0C9-4F77-9CE2-17B82C41401C}"/>
                </a:ext>
              </a:extLst>
            </xdr:cNvPr>
            <xdr:cNvGrpSpPr/>
          </xdr:nvGrpSpPr>
          <xdr:grpSpPr>
            <a:xfrm>
              <a:off x="63500" y="7639050"/>
              <a:ext cx="6432550" cy="857250"/>
              <a:chOff x="50800" y="8020050"/>
              <a:chExt cx="6432550" cy="857250"/>
            </a:xfrm>
          </xdr:grpSpPr>
          <xdr:grpSp>
            <xdr:nvGrpSpPr>
              <xdr:cNvPr id="32" name="Group 31">
                <a:extLst>
                  <a:ext uri="{FF2B5EF4-FFF2-40B4-BE49-F238E27FC236}">
                    <a16:creationId xmlns:a16="http://schemas.microsoft.com/office/drawing/2014/main" id="{58BC70E0-B23C-4A49-B8D4-8E498222BE18}"/>
                  </a:ext>
                </a:extLst>
              </xdr:cNvPr>
              <xdr:cNvGrpSpPr/>
            </xdr:nvGrpSpPr>
            <xdr:grpSpPr>
              <a:xfrm>
                <a:off x="50800" y="8020050"/>
                <a:ext cx="6432550" cy="228600"/>
                <a:chOff x="50800" y="8020050"/>
                <a:chExt cx="6432550" cy="228600"/>
              </a:xfrm>
            </xdr:grpSpPr>
            <xdr:sp macro="" textlink="">
              <xdr:nvSpPr>
                <xdr:cNvPr id="47" name="Rectangle 46">
                  <a:extLst>
                    <a:ext uri="{FF2B5EF4-FFF2-40B4-BE49-F238E27FC236}">
                      <a16:creationId xmlns:a16="http://schemas.microsoft.com/office/drawing/2014/main" id="{A95DF9F3-581A-422C-AC1A-F73AE4120793}"/>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n-MY">
                      <a:solidFill>
                        <a:sysClr val="windowText" lastClr="000000"/>
                      </a:solidFill>
                    </a:rPr>
                    <a:t>FACILITATOR</a:t>
                  </a:r>
                </a:p>
              </xdr:txBody>
            </xdr:sp>
            <xdr:sp macro="" textlink="">
              <xdr:nvSpPr>
                <xdr:cNvPr id="50" name="Rectangle 49">
                  <a:extLst>
                    <a:ext uri="{FF2B5EF4-FFF2-40B4-BE49-F238E27FC236}">
                      <a16:creationId xmlns:a16="http://schemas.microsoft.com/office/drawing/2014/main" id="{1B61A16F-A66B-4FF5-9A65-E3E0A978B38B}"/>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n-MY">
                      <a:solidFill>
                        <a:sysClr val="windowText" lastClr="000000"/>
                      </a:solidFill>
                    </a:rPr>
                    <a:t>PROJECT OWNER</a:t>
                  </a:r>
                </a:p>
              </xdr:txBody>
            </xdr:sp>
            <xdr:sp macro="" textlink="">
              <xdr:nvSpPr>
                <xdr:cNvPr id="52" name="Rectangle 51">
                  <a:extLst>
                    <a:ext uri="{FF2B5EF4-FFF2-40B4-BE49-F238E27FC236}">
                      <a16:creationId xmlns:a16="http://schemas.microsoft.com/office/drawing/2014/main" id="{DF5C4C11-F7DE-41B1-B966-EDD9C32260CE}"/>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n-MY">
                      <a:solidFill>
                        <a:sysClr val="windowText" lastClr="000000"/>
                      </a:solidFill>
                    </a:rPr>
                    <a:t>AUDITOR</a:t>
                  </a:r>
                </a:p>
              </xdr:txBody>
            </xdr:sp>
          </xdr:grpSp>
          <xdr:grpSp>
            <xdr:nvGrpSpPr>
              <xdr:cNvPr id="33" name="Group 32">
                <a:extLst>
                  <a:ext uri="{FF2B5EF4-FFF2-40B4-BE49-F238E27FC236}">
                    <a16:creationId xmlns:a16="http://schemas.microsoft.com/office/drawing/2014/main" id="{AB79AF67-955E-478C-9A17-7B875AF24DAA}"/>
                  </a:ext>
                </a:extLst>
              </xdr:cNvPr>
              <xdr:cNvGrpSpPr/>
            </xdr:nvGrpSpPr>
            <xdr:grpSpPr>
              <a:xfrm>
                <a:off x="50800" y="8248650"/>
                <a:ext cx="6432550" cy="628650"/>
                <a:chOff x="50800" y="8020050"/>
                <a:chExt cx="6432550" cy="228600"/>
              </a:xfrm>
            </xdr:grpSpPr>
            <xdr:sp macro="" textlink="">
              <xdr:nvSpPr>
                <xdr:cNvPr id="34" name="Rectangle 33">
                  <a:extLst>
                    <a:ext uri="{FF2B5EF4-FFF2-40B4-BE49-F238E27FC236}">
                      <a16:creationId xmlns:a16="http://schemas.microsoft.com/office/drawing/2014/main" id="{3118E3B4-7C2B-4110-8634-9B522E7C0E12}"/>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en-MY">
                    <a:solidFill>
                      <a:sysClr val="windowText" lastClr="000000"/>
                    </a:solidFill>
                  </a:endParaRPr>
                </a:p>
              </xdr:txBody>
            </xdr:sp>
            <xdr:sp macro="" textlink="">
              <xdr:nvSpPr>
                <xdr:cNvPr id="35" name="Rectangle 34">
                  <a:extLst>
                    <a:ext uri="{FF2B5EF4-FFF2-40B4-BE49-F238E27FC236}">
                      <a16:creationId xmlns:a16="http://schemas.microsoft.com/office/drawing/2014/main" id="{ABDD5658-2D18-41C8-A9D1-22E38E66B892}"/>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en-MY">
                    <a:solidFill>
                      <a:sysClr val="windowText" lastClr="000000"/>
                    </a:solidFill>
                  </a:endParaRPr>
                </a:p>
              </xdr:txBody>
            </xdr:sp>
            <xdr:sp macro="" textlink="">
              <xdr:nvSpPr>
                <xdr:cNvPr id="36" name="Rectangle 35">
                  <a:extLst>
                    <a:ext uri="{FF2B5EF4-FFF2-40B4-BE49-F238E27FC236}">
                      <a16:creationId xmlns:a16="http://schemas.microsoft.com/office/drawing/2014/main" id="{A06A59F2-F4C4-470D-A42C-B9D4B2C6FC85}"/>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en-MY">
                    <a:solidFill>
                      <a:sysClr val="windowText" lastClr="000000"/>
                    </a:solidFill>
                  </a:endParaRPr>
                </a:p>
              </xdr:txBody>
            </xdr:sp>
          </xdr:grpSp>
        </xdr:grpSp>
        <xdr:grpSp>
          <xdr:nvGrpSpPr>
            <xdr:cNvPr id="28" name="Group 27">
              <a:extLst>
                <a:ext uri="{FF2B5EF4-FFF2-40B4-BE49-F238E27FC236}">
                  <a16:creationId xmlns:a16="http://schemas.microsoft.com/office/drawing/2014/main" id="{A66CE9B4-E76D-4ECB-9612-17D445743CBA}"/>
                </a:ext>
              </a:extLst>
            </xdr:cNvPr>
            <xdr:cNvGrpSpPr/>
          </xdr:nvGrpSpPr>
          <xdr:grpSpPr>
            <a:xfrm>
              <a:off x="63500" y="8489950"/>
              <a:ext cx="6432550" cy="228600"/>
              <a:chOff x="50800" y="8020050"/>
              <a:chExt cx="6432550" cy="228600"/>
            </a:xfrm>
          </xdr:grpSpPr>
          <xdr:sp macro="" textlink="">
            <xdr:nvSpPr>
              <xdr:cNvPr id="29" name="Rectangle 28">
                <a:extLst>
                  <a:ext uri="{FF2B5EF4-FFF2-40B4-BE49-F238E27FC236}">
                    <a16:creationId xmlns:a16="http://schemas.microsoft.com/office/drawing/2014/main" id="{FBB1564D-CCFF-4486-98D9-E76326848860}"/>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Name:</a:t>
                </a:r>
              </a:p>
            </xdr:txBody>
          </xdr:sp>
          <xdr:sp macro="" textlink="">
            <xdr:nvSpPr>
              <xdr:cNvPr id="30" name="Rectangle 29">
                <a:extLst>
                  <a:ext uri="{FF2B5EF4-FFF2-40B4-BE49-F238E27FC236}">
                    <a16:creationId xmlns:a16="http://schemas.microsoft.com/office/drawing/2014/main" id="{27F7A830-0261-4E8E-85F4-B29A8F464E01}"/>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Name:</a:t>
                </a:r>
              </a:p>
            </xdr:txBody>
          </xdr:sp>
          <xdr:sp macro="" textlink="">
            <xdr:nvSpPr>
              <xdr:cNvPr id="31" name="Rectangle 30">
                <a:extLst>
                  <a:ext uri="{FF2B5EF4-FFF2-40B4-BE49-F238E27FC236}">
                    <a16:creationId xmlns:a16="http://schemas.microsoft.com/office/drawing/2014/main" id="{F5C95937-6BAE-47AC-8B0B-3F1A62644357}"/>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Name:</a:t>
                </a:r>
              </a:p>
            </xdr:txBody>
          </xdr:sp>
        </xdr:grpSp>
      </xdr:grpSp>
      <xdr:grpSp>
        <xdr:nvGrpSpPr>
          <xdr:cNvPr id="23" name="Group 22">
            <a:extLst>
              <a:ext uri="{FF2B5EF4-FFF2-40B4-BE49-F238E27FC236}">
                <a16:creationId xmlns:a16="http://schemas.microsoft.com/office/drawing/2014/main" id="{795A10E1-0F43-44E4-AE74-E5F09EF034BE}"/>
              </a:ext>
            </a:extLst>
          </xdr:cNvPr>
          <xdr:cNvGrpSpPr/>
        </xdr:nvGrpSpPr>
        <xdr:grpSpPr>
          <a:xfrm>
            <a:off x="63500" y="8718550"/>
            <a:ext cx="6432550" cy="222250"/>
            <a:chOff x="50800" y="8020050"/>
            <a:chExt cx="6432550" cy="228600"/>
          </a:xfrm>
        </xdr:grpSpPr>
        <xdr:sp macro="" textlink="">
          <xdr:nvSpPr>
            <xdr:cNvPr id="24" name="Rectangle 23">
              <a:extLst>
                <a:ext uri="{FF2B5EF4-FFF2-40B4-BE49-F238E27FC236}">
                  <a16:creationId xmlns:a16="http://schemas.microsoft.com/office/drawing/2014/main" id="{5C7214DB-8FF2-46BC-BA72-9E546D388270}"/>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Date:</a:t>
              </a:r>
            </a:p>
          </xdr:txBody>
        </xdr:sp>
        <xdr:sp macro="" textlink="">
          <xdr:nvSpPr>
            <xdr:cNvPr id="25" name="Rectangle 24">
              <a:extLst>
                <a:ext uri="{FF2B5EF4-FFF2-40B4-BE49-F238E27FC236}">
                  <a16:creationId xmlns:a16="http://schemas.microsoft.com/office/drawing/2014/main" id="{403CD2AE-6FBF-490A-81D6-350994DEDC33}"/>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Date:</a:t>
              </a:r>
            </a:p>
          </xdr:txBody>
        </xdr:sp>
        <xdr:sp macro="" textlink="">
          <xdr:nvSpPr>
            <xdr:cNvPr id="26" name="Rectangle 25">
              <a:extLst>
                <a:ext uri="{FF2B5EF4-FFF2-40B4-BE49-F238E27FC236}">
                  <a16:creationId xmlns:a16="http://schemas.microsoft.com/office/drawing/2014/main" id="{F7210EBE-C503-4C5B-8D8D-0A6B8D5CAC1E}"/>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Date:</a:t>
              </a: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276225</xdr:colOff>
      <xdr:row>0</xdr:row>
      <xdr:rowOff>104775</xdr:rowOff>
    </xdr:from>
    <xdr:to>
      <xdr:col>1</xdr:col>
      <xdr:colOff>400050</xdr:colOff>
      <xdr:row>2</xdr:row>
      <xdr:rowOff>123825</xdr:rowOff>
    </xdr:to>
    <xdr:pic>
      <xdr:nvPicPr>
        <xdr:cNvPr id="2" name="Picture 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104775"/>
          <a:ext cx="81915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489857</xdr:colOff>
      <xdr:row>30</xdr:row>
      <xdr:rowOff>14286</xdr:rowOff>
    </xdr:from>
    <xdr:to>
      <xdr:col>17</xdr:col>
      <xdr:colOff>136071</xdr:colOff>
      <xdr:row>50</xdr:row>
      <xdr:rowOff>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52</xdr:row>
      <xdr:rowOff>0</xdr:rowOff>
    </xdr:from>
    <xdr:to>
      <xdr:col>17</xdr:col>
      <xdr:colOff>293914</xdr:colOff>
      <xdr:row>71</xdr:row>
      <xdr:rowOff>176214</xdr:rowOff>
    </xdr:to>
    <xdr:graphicFrame macro="">
      <xdr:nvGraphicFramePr>
        <xdr:cNvPr id="5" name="Chart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66675</xdr:colOff>
      <xdr:row>30</xdr:row>
      <xdr:rowOff>161925</xdr:rowOff>
    </xdr:from>
    <xdr:to>
      <xdr:col>10</xdr:col>
      <xdr:colOff>104775</xdr:colOff>
      <xdr:row>32</xdr:row>
      <xdr:rowOff>123825</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2009775" y="6076950"/>
          <a:ext cx="5572125"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Different Baseline year for each element, consider population changes.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32846</xdr:colOff>
      <xdr:row>30</xdr:row>
      <xdr:rowOff>65690</xdr:rowOff>
    </xdr:from>
    <xdr:to>
      <xdr:col>7</xdr:col>
      <xdr:colOff>752475</xdr:colOff>
      <xdr:row>42</xdr:row>
      <xdr:rowOff>11206</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67237</xdr:colOff>
      <xdr:row>42</xdr:row>
      <xdr:rowOff>134471</xdr:rowOff>
    </xdr:from>
    <xdr:to>
      <xdr:col>7</xdr:col>
      <xdr:colOff>728384</xdr:colOff>
      <xdr:row>49</xdr:row>
      <xdr:rowOff>112059</xdr:rowOff>
    </xdr:to>
    <xdr:grpSp>
      <xdr:nvGrpSpPr>
        <xdr:cNvPr id="3" name="Group 2">
          <a:extLst>
            <a:ext uri="{FF2B5EF4-FFF2-40B4-BE49-F238E27FC236}">
              <a16:creationId xmlns:a16="http://schemas.microsoft.com/office/drawing/2014/main" id="{B8266653-6222-44C6-B81B-2B74968A9DE9}"/>
            </a:ext>
          </a:extLst>
        </xdr:cNvPr>
        <xdr:cNvGrpSpPr/>
      </xdr:nvGrpSpPr>
      <xdr:grpSpPr>
        <a:xfrm>
          <a:off x="67237" y="8202706"/>
          <a:ext cx="6645088" cy="1311088"/>
          <a:chOff x="63500" y="7639050"/>
          <a:chExt cx="6432550" cy="1301750"/>
        </a:xfrm>
      </xdr:grpSpPr>
      <xdr:grpSp>
        <xdr:nvGrpSpPr>
          <xdr:cNvPr id="4" name="Group 3">
            <a:extLst>
              <a:ext uri="{FF2B5EF4-FFF2-40B4-BE49-F238E27FC236}">
                <a16:creationId xmlns:a16="http://schemas.microsoft.com/office/drawing/2014/main" id="{C8056B15-0373-4DDB-AC5D-DCBE64B41B7B}"/>
              </a:ext>
            </a:extLst>
          </xdr:cNvPr>
          <xdr:cNvGrpSpPr/>
        </xdr:nvGrpSpPr>
        <xdr:grpSpPr>
          <a:xfrm>
            <a:off x="63500" y="7639050"/>
            <a:ext cx="6432550" cy="1079500"/>
            <a:chOff x="63500" y="7639050"/>
            <a:chExt cx="6432550" cy="1079500"/>
          </a:xfrm>
        </xdr:grpSpPr>
        <xdr:grpSp>
          <xdr:nvGrpSpPr>
            <xdr:cNvPr id="9" name="Group 8">
              <a:extLst>
                <a:ext uri="{FF2B5EF4-FFF2-40B4-BE49-F238E27FC236}">
                  <a16:creationId xmlns:a16="http://schemas.microsoft.com/office/drawing/2014/main" id="{B0797534-87D2-4455-B15A-F82804031897}"/>
                </a:ext>
              </a:extLst>
            </xdr:cNvPr>
            <xdr:cNvGrpSpPr/>
          </xdr:nvGrpSpPr>
          <xdr:grpSpPr>
            <a:xfrm>
              <a:off x="63500" y="7639050"/>
              <a:ext cx="6432550" cy="857250"/>
              <a:chOff x="50800" y="8020050"/>
              <a:chExt cx="6432550" cy="857250"/>
            </a:xfrm>
          </xdr:grpSpPr>
          <xdr:grpSp>
            <xdr:nvGrpSpPr>
              <xdr:cNvPr id="14" name="Group 13">
                <a:extLst>
                  <a:ext uri="{FF2B5EF4-FFF2-40B4-BE49-F238E27FC236}">
                    <a16:creationId xmlns:a16="http://schemas.microsoft.com/office/drawing/2014/main" id="{DFDFD032-0E55-4B8C-A3FA-27C72A12E3B8}"/>
                  </a:ext>
                </a:extLst>
              </xdr:cNvPr>
              <xdr:cNvGrpSpPr/>
            </xdr:nvGrpSpPr>
            <xdr:grpSpPr>
              <a:xfrm>
                <a:off x="50800" y="8020050"/>
                <a:ext cx="6432550" cy="228600"/>
                <a:chOff x="50800" y="8020050"/>
                <a:chExt cx="6432550" cy="228600"/>
              </a:xfrm>
            </xdr:grpSpPr>
            <xdr:sp macro="" textlink="">
              <xdr:nvSpPr>
                <xdr:cNvPr id="19" name="Rectangle 18">
                  <a:extLst>
                    <a:ext uri="{FF2B5EF4-FFF2-40B4-BE49-F238E27FC236}">
                      <a16:creationId xmlns:a16="http://schemas.microsoft.com/office/drawing/2014/main" id="{93AA2A96-1A27-4439-8A0D-6403A526D36D}"/>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n-MY">
                      <a:solidFill>
                        <a:sysClr val="windowText" lastClr="000000"/>
                      </a:solidFill>
                    </a:rPr>
                    <a:t>FACILITATOR</a:t>
                  </a:r>
                </a:p>
              </xdr:txBody>
            </xdr:sp>
            <xdr:sp macro="" textlink="">
              <xdr:nvSpPr>
                <xdr:cNvPr id="20" name="Rectangle 19">
                  <a:extLst>
                    <a:ext uri="{FF2B5EF4-FFF2-40B4-BE49-F238E27FC236}">
                      <a16:creationId xmlns:a16="http://schemas.microsoft.com/office/drawing/2014/main" id="{4B52CEAB-A56E-46ED-BE93-747E4B7BDDA3}"/>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n-MY">
                      <a:solidFill>
                        <a:sysClr val="windowText" lastClr="000000"/>
                      </a:solidFill>
                    </a:rPr>
                    <a:t>PROJECT OWNER</a:t>
                  </a:r>
                </a:p>
              </xdr:txBody>
            </xdr:sp>
            <xdr:sp macro="" textlink="">
              <xdr:nvSpPr>
                <xdr:cNvPr id="21" name="Rectangle 20">
                  <a:extLst>
                    <a:ext uri="{FF2B5EF4-FFF2-40B4-BE49-F238E27FC236}">
                      <a16:creationId xmlns:a16="http://schemas.microsoft.com/office/drawing/2014/main" id="{99E9FB03-C42E-4B2D-BC17-7415FC235E25}"/>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n-MY">
                      <a:solidFill>
                        <a:sysClr val="windowText" lastClr="000000"/>
                      </a:solidFill>
                    </a:rPr>
                    <a:t>AUDITOR</a:t>
                  </a:r>
                </a:p>
              </xdr:txBody>
            </xdr:sp>
          </xdr:grpSp>
          <xdr:grpSp>
            <xdr:nvGrpSpPr>
              <xdr:cNvPr id="15" name="Group 14">
                <a:extLst>
                  <a:ext uri="{FF2B5EF4-FFF2-40B4-BE49-F238E27FC236}">
                    <a16:creationId xmlns:a16="http://schemas.microsoft.com/office/drawing/2014/main" id="{8DD90A10-3D91-4CAC-81E2-A915DCBB6925}"/>
                  </a:ext>
                </a:extLst>
              </xdr:cNvPr>
              <xdr:cNvGrpSpPr/>
            </xdr:nvGrpSpPr>
            <xdr:grpSpPr>
              <a:xfrm>
                <a:off x="50800" y="8248650"/>
                <a:ext cx="6432550" cy="628650"/>
                <a:chOff x="50800" y="8020050"/>
                <a:chExt cx="6432550" cy="228600"/>
              </a:xfrm>
            </xdr:grpSpPr>
            <xdr:sp macro="" textlink="">
              <xdr:nvSpPr>
                <xdr:cNvPr id="16" name="Rectangle 15">
                  <a:extLst>
                    <a:ext uri="{FF2B5EF4-FFF2-40B4-BE49-F238E27FC236}">
                      <a16:creationId xmlns:a16="http://schemas.microsoft.com/office/drawing/2014/main" id="{5F1B1089-D633-4B09-8EFD-9ECE03DCDF4C}"/>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en-MY">
                    <a:solidFill>
                      <a:sysClr val="windowText" lastClr="000000"/>
                    </a:solidFill>
                  </a:endParaRPr>
                </a:p>
              </xdr:txBody>
            </xdr:sp>
            <xdr:sp macro="" textlink="">
              <xdr:nvSpPr>
                <xdr:cNvPr id="17" name="Rectangle 16">
                  <a:extLst>
                    <a:ext uri="{FF2B5EF4-FFF2-40B4-BE49-F238E27FC236}">
                      <a16:creationId xmlns:a16="http://schemas.microsoft.com/office/drawing/2014/main" id="{D8786C88-3D51-46B2-9070-15394B34B300}"/>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en-MY">
                    <a:solidFill>
                      <a:sysClr val="windowText" lastClr="000000"/>
                    </a:solidFill>
                  </a:endParaRPr>
                </a:p>
              </xdr:txBody>
            </xdr:sp>
            <xdr:sp macro="" textlink="">
              <xdr:nvSpPr>
                <xdr:cNvPr id="18" name="Rectangle 17">
                  <a:extLst>
                    <a:ext uri="{FF2B5EF4-FFF2-40B4-BE49-F238E27FC236}">
                      <a16:creationId xmlns:a16="http://schemas.microsoft.com/office/drawing/2014/main" id="{4B312D41-C1F1-42D3-990E-76195AFE321E}"/>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en-MY">
                    <a:solidFill>
                      <a:sysClr val="windowText" lastClr="000000"/>
                    </a:solidFill>
                  </a:endParaRPr>
                </a:p>
              </xdr:txBody>
            </xdr:sp>
          </xdr:grpSp>
        </xdr:grpSp>
        <xdr:grpSp>
          <xdr:nvGrpSpPr>
            <xdr:cNvPr id="10" name="Group 9">
              <a:extLst>
                <a:ext uri="{FF2B5EF4-FFF2-40B4-BE49-F238E27FC236}">
                  <a16:creationId xmlns:a16="http://schemas.microsoft.com/office/drawing/2014/main" id="{798CA994-9FAE-43F3-9A91-E3E895F28BAC}"/>
                </a:ext>
              </a:extLst>
            </xdr:cNvPr>
            <xdr:cNvGrpSpPr/>
          </xdr:nvGrpSpPr>
          <xdr:grpSpPr>
            <a:xfrm>
              <a:off x="63500" y="8489950"/>
              <a:ext cx="6432550" cy="228600"/>
              <a:chOff x="50800" y="8020050"/>
              <a:chExt cx="6432550" cy="228600"/>
            </a:xfrm>
          </xdr:grpSpPr>
          <xdr:sp macro="" textlink="">
            <xdr:nvSpPr>
              <xdr:cNvPr id="11" name="Rectangle 10">
                <a:extLst>
                  <a:ext uri="{FF2B5EF4-FFF2-40B4-BE49-F238E27FC236}">
                    <a16:creationId xmlns:a16="http://schemas.microsoft.com/office/drawing/2014/main" id="{9DCDD370-FEEB-4E29-93F0-1BC072974F64}"/>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Name:</a:t>
                </a:r>
              </a:p>
            </xdr:txBody>
          </xdr:sp>
          <xdr:sp macro="" textlink="">
            <xdr:nvSpPr>
              <xdr:cNvPr id="12" name="Rectangle 11">
                <a:extLst>
                  <a:ext uri="{FF2B5EF4-FFF2-40B4-BE49-F238E27FC236}">
                    <a16:creationId xmlns:a16="http://schemas.microsoft.com/office/drawing/2014/main" id="{4B59D57C-B893-477E-A43D-DD26C98C2AA2}"/>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Name:</a:t>
                </a:r>
              </a:p>
            </xdr:txBody>
          </xdr:sp>
          <xdr:sp macro="" textlink="">
            <xdr:nvSpPr>
              <xdr:cNvPr id="13" name="Rectangle 12">
                <a:extLst>
                  <a:ext uri="{FF2B5EF4-FFF2-40B4-BE49-F238E27FC236}">
                    <a16:creationId xmlns:a16="http://schemas.microsoft.com/office/drawing/2014/main" id="{7A782A58-2D98-468E-92AF-74783B522B8B}"/>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Name:</a:t>
                </a:r>
              </a:p>
            </xdr:txBody>
          </xdr:sp>
        </xdr:grpSp>
      </xdr:grpSp>
      <xdr:grpSp>
        <xdr:nvGrpSpPr>
          <xdr:cNvPr id="5" name="Group 4">
            <a:extLst>
              <a:ext uri="{FF2B5EF4-FFF2-40B4-BE49-F238E27FC236}">
                <a16:creationId xmlns:a16="http://schemas.microsoft.com/office/drawing/2014/main" id="{8AD379E5-672C-4E3E-9837-69C329187EB8}"/>
              </a:ext>
            </a:extLst>
          </xdr:cNvPr>
          <xdr:cNvGrpSpPr/>
        </xdr:nvGrpSpPr>
        <xdr:grpSpPr>
          <a:xfrm>
            <a:off x="63500" y="8718550"/>
            <a:ext cx="6432550" cy="222250"/>
            <a:chOff x="50800" y="8020050"/>
            <a:chExt cx="6432550" cy="228600"/>
          </a:xfrm>
        </xdr:grpSpPr>
        <xdr:sp macro="" textlink="">
          <xdr:nvSpPr>
            <xdr:cNvPr id="6" name="Rectangle 5">
              <a:extLst>
                <a:ext uri="{FF2B5EF4-FFF2-40B4-BE49-F238E27FC236}">
                  <a16:creationId xmlns:a16="http://schemas.microsoft.com/office/drawing/2014/main" id="{A171AEFA-AC50-4AD1-A8DE-F17FD6ADB35A}"/>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Date:</a:t>
              </a:r>
            </a:p>
          </xdr:txBody>
        </xdr:sp>
        <xdr:sp macro="" textlink="">
          <xdr:nvSpPr>
            <xdr:cNvPr id="7" name="Rectangle 6">
              <a:extLst>
                <a:ext uri="{FF2B5EF4-FFF2-40B4-BE49-F238E27FC236}">
                  <a16:creationId xmlns:a16="http://schemas.microsoft.com/office/drawing/2014/main" id="{BECCB50B-84C3-45F3-BFD1-F0371BAD354B}"/>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Date:</a:t>
              </a:r>
            </a:p>
          </xdr:txBody>
        </xdr:sp>
        <xdr:sp macro="" textlink="">
          <xdr:nvSpPr>
            <xdr:cNvPr id="8" name="Rectangle 7">
              <a:extLst>
                <a:ext uri="{FF2B5EF4-FFF2-40B4-BE49-F238E27FC236}">
                  <a16:creationId xmlns:a16="http://schemas.microsoft.com/office/drawing/2014/main" id="{82417B6A-396C-4646-BAFB-FAFAD9698F11}"/>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Date:</a:t>
              </a: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32846</xdr:colOff>
      <xdr:row>30</xdr:row>
      <xdr:rowOff>65690</xdr:rowOff>
    </xdr:from>
    <xdr:to>
      <xdr:col>7</xdr:col>
      <xdr:colOff>739588</xdr:colOff>
      <xdr:row>42</xdr:row>
      <xdr:rowOff>130968</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56029</xdr:colOff>
      <xdr:row>43</xdr:row>
      <xdr:rowOff>0</xdr:rowOff>
    </xdr:from>
    <xdr:to>
      <xdr:col>7</xdr:col>
      <xdr:colOff>717176</xdr:colOff>
      <xdr:row>49</xdr:row>
      <xdr:rowOff>168088</xdr:rowOff>
    </xdr:to>
    <xdr:grpSp>
      <xdr:nvGrpSpPr>
        <xdr:cNvPr id="3" name="Group 2">
          <a:extLst>
            <a:ext uri="{FF2B5EF4-FFF2-40B4-BE49-F238E27FC236}">
              <a16:creationId xmlns:a16="http://schemas.microsoft.com/office/drawing/2014/main" id="{23ABED92-36C9-444C-AADD-0EDD0132E692}"/>
            </a:ext>
          </a:extLst>
        </xdr:cNvPr>
        <xdr:cNvGrpSpPr/>
      </xdr:nvGrpSpPr>
      <xdr:grpSpPr>
        <a:xfrm>
          <a:off x="56029" y="7956176"/>
          <a:ext cx="6645088" cy="1311088"/>
          <a:chOff x="63500" y="7639050"/>
          <a:chExt cx="6432550" cy="1301750"/>
        </a:xfrm>
      </xdr:grpSpPr>
      <xdr:grpSp>
        <xdr:nvGrpSpPr>
          <xdr:cNvPr id="4" name="Group 3">
            <a:extLst>
              <a:ext uri="{FF2B5EF4-FFF2-40B4-BE49-F238E27FC236}">
                <a16:creationId xmlns:a16="http://schemas.microsoft.com/office/drawing/2014/main" id="{02C88E87-317F-4B6F-9338-AA968B9EFC93}"/>
              </a:ext>
            </a:extLst>
          </xdr:cNvPr>
          <xdr:cNvGrpSpPr/>
        </xdr:nvGrpSpPr>
        <xdr:grpSpPr>
          <a:xfrm>
            <a:off x="63500" y="7639050"/>
            <a:ext cx="6432550" cy="1079500"/>
            <a:chOff x="63500" y="7639050"/>
            <a:chExt cx="6432550" cy="1079500"/>
          </a:xfrm>
        </xdr:grpSpPr>
        <xdr:grpSp>
          <xdr:nvGrpSpPr>
            <xdr:cNvPr id="9" name="Group 8">
              <a:extLst>
                <a:ext uri="{FF2B5EF4-FFF2-40B4-BE49-F238E27FC236}">
                  <a16:creationId xmlns:a16="http://schemas.microsoft.com/office/drawing/2014/main" id="{2976E38E-E08F-4427-ABFB-E2C425350755}"/>
                </a:ext>
              </a:extLst>
            </xdr:cNvPr>
            <xdr:cNvGrpSpPr/>
          </xdr:nvGrpSpPr>
          <xdr:grpSpPr>
            <a:xfrm>
              <a:off x="63500" y="7639050"/>
              <a:ext cx="6432550" cy="857250"/>
              <a:chOff x="50800" y="8020050"/>
              <a:chExt cx="6432550" cy="857250"/>
            </a:xfrm>
          </xdr:grpSpPr>
          <xdr:grpSp>
            <xdr:nvGrpSpPr>
              <xdr:cNvPr id="14" name="Group 13">
                <a:extLst>
                  <a:ext uri="{FF2B5EF4-FFF2-40B4-BE49-F238E27FC236}">
                    <a16:creationId xmlns:a16="http://schemas.microsoft.com/office/drawing/2014/main" id="{B3FE0139-C7BF-4E65-ACE5-2E8BF435EF33}"/>
                  </a:ext>
                </a:extLst>
              </xdr:cNvPr>
              <xdr:cNvGrpSpPr/>
            </xdr:nvGrpSpPr>
            <xdr:grpSpPr>
              <a:xfrm>
                <a:off x="50800" y="8020050"/>
                <a:ext cx="6432550" cy="228600"/>
                <a:chOff x="50800" y="8020050"/>
                <a:chExt cx="6432550" cy="228600"/>
              </a:xfrm>
            </xdr:grpSpPr>
            <xdr:sp macro="" textlink="">
              <xdr:nvSpPr>
                <xdr:cNvPr id="19" name="Rectangle 18">
                  <a:extLst>
                    <a:ext uri="{FF2B5EF4-FFF2-40B4-BE49-F238E27FC236}">
                      <a16:creationId xmlns:a16="http://schemas.microsoft.com/office/drawing/2014/main" id="{A3F63A97-CC24-4AC3-8C5B-65C1BE385D2F}"/>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n-MY">
                      <a:solidFill>
                        <a:sysClr val="windowText" lastClr="000000"/>
                      </a:solidFill>
                    </a:rPr>
                    <a:t>FACILITATOR</a:t>
                  </a:r>
                </a:p>
              </xdr:txBody>
            </xdr:sp>
            <xdr:sp macro="" textlink="">
              <xdr:nvSpPr>
                <xdr:cNvPr id="20" name="Rectangle 19">
                  <a:extLst>
                    <a:ext uri="{FF2B5EF4-FFF2-40B4-BE49-F238E27FC236}">
                      <a16:creationId xmlns:a16="http://schemas.microsoft.com/office/drawing/2014/main" id="{23EEBAE3-B8E5-470B-848A-0386F8DD6B49}"/>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n-MY">
                      <a:solidFill>
                        <a:sysClr val="windowText" lastClr="000000"/>
                      </a:solidFill>
                    </a:rPr>
                    <a:t>PROJECT OWNER</a:t>
                  </a:r>
                </a:p>
              </xdr:txBody>
            </xdr:sp>
            <xdr:sp macro="" textlink="">
              <xdr:nvSpPr>
                <xdr:cNvPr id="21" name="Rectangle 20">
                  <a:extLst>
                    <a:ext uri="{FF2B5EF4-FFF2-40B4-BE49-F238E27FC236}">
                      <a16:creationId xmlns:a16="http://schemas.microsoft.com/office/drawing/2014/main" id="{F3CD8868-960D-44E6-B2F6-68B3946F93D9}"/>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n-MY">
                      <a:solidFill>
                        <a:sysClr val="windowText" lastClr="000000"/>
                      </a:solidFill>
                    </a:rPr>
                    <a:t>AUDITOR</a:t>
                  </a:r>
                </a:p>
              </xdr:txBody>
            </xdr:sp>
          </xdr:grpSp>
          <xdr:grpSp>
            <xdr:nvGrpSpPr>
              <xdr:cNvPr id="15" name="Group 14">
                <a:extLst>
                  <a:ext uri="{FF2B5EF4-FFF2-40B4-BE49-F238E27FC236}">
                    <a16:creationId xmlns:a16="http://schemas.microsoft.com/office/drawing/2014/main" id="{618961D9-9457-484A-A7AD-C46127E7A1D5}"/>
                  </a:ext>
                </a:extLst>
              </xdr:cNvPr>
              <xdr:cNvGrpSpPr/>
            </xdr:nvGrpSpPr>
            <xdr:grpSpPr>
              <a:xfrm>
                <a:off x="50800" y="8248650"/>
                <a:ext cx="6432550" cy="628650"/>
                <a:chOff x="50800" y="8020050"/>
                <a:chExt cx="6432550" cy="228600"/>
              </a:xfrm>
            </xdr:grpSpPr>
            <xdr:sp macro="" textlink="">
              <xdr:nvSpPr>
                <xdr:cNvPr id="16" name="Rectangle 15">
                  <a:extLst>
                    <a:ext uri="{FF2B5EF4-FFF2-40B4-BE49-F238E27FC236}">
                      <a16:creationId xmlns:a16="http://schemas.microsoft.com/office/drawing/2014/main" id="{4F597E59-2905-4020-9C04-E938B9B07293}"/>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en-MY">
                    <a:solidFill>
                      <a:sysClr val="windowText" lastClr="000000"/>
                    </a:solidFill>
                  </a:endParaRPr>
                </a:p>
              </xdr:txBody>
            </xdr:sp>
            <xdr:sp macro="" textlink="">
              <xdr:nvSpPr>
                <xdr:cNvPr id="17" name="Rectangle 16">
                  <a:extLst>
                    <a:ext uri="{FF2B5EF4-FFF2-40B4-BE49-F238E27FC236}">
                      <a16:creationId xmlns:a16="http://schemas.microsoft.com/office/drawing/2014/main" id="{B3A5DD79-D9BD-45E0-B7D7-6EBEFAA1BE74}"/>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en-MY">
                    <a:solidFill>
                      <a:sysClr val="windowText" lastClr="000000"/>
                    </a:solidFill>
                  </a:endParaRPr>
                </a:p>
              </xdr:txBody>
            </xdr:sp>
            <xdr:sp macro="" textlink="">
              <xdr:nvSpPr>
                <xdr:cNvPr id="18" name="Rectangle 17">
                  <a:extLst>
                    <a:ext uri="{FF2B5EF4-FFF2-40B4-BE49-F238E27FC236}">
                      <a16:creationId xmlns:a16="http://schemas.microsoft.com/office/drawing/2014/main" id="{F9320025-4D64-4AC8-A96A-3F7203F6F537}"/>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en-MY">
                    <a:solidFill>
                      <a:sysClr val="windowText" lastClr="000000"/>
                    </a:solidFill>
                  </a:endParaRPr>
                </a:p>
              </xdr:txBody>
            </xdr:sp>
          </xdr:grpSp>
        </xdr:grpSp>
        <xdr:grpSp>
          <xdr:nvGrpSpPr>
            <xdr:cNvPr id="10" name="Group 9">
              <a:extLst>
                <a:ext uri="{FF2B5EF4-FFF2-40B4-BE49-F238E27FC236}">
                  <a16:creationId xmlns:a16="http://schemas.microsoft.com/office/drawing/2014/main" id="{D0A20DBD-43D5-48CA-8C08-6164FCF29D49}"/>
                </a:ext>
              </a:extLst>
            </xdr:cNvPr>
            <xdr:cNvGrpSpPr/>
          </xdr:nvGrpSpPr>
          <xdr:grpSpPr>
            <a:xfrm>
              <a:off x="63500" y="8489950"/>
              <a:ext cx="6432550" cy="228600"/>
              <a:chOff x="50800" y="8020050"/>
              <a:chExt cx="6432550" cy="228600"/>
            </a:xfrm>
          </xdr:grpSpPr>
          <xdr:sp macro="" textlink="">
            <xdr:nvSpPr>
              <xdr:cNvPr id="11" name="Rectangle 10">
                <a:extLst>
                  <a:ext uri="{FF2B5EF4-FFF2-40B4-BE49-F238E27FC236}">
                    <a16:creationId xmlns:a16="http://schemas.microsoft.com/office/drawing/2014/main" id="{6B1155C3-B4E1-4F6B-AFDF-43B42BFF9D4D}"/>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Name:</a:t>
                </a:r>
              </a:p>
            </xdr:txBody>
          </xdr:sp>
          <xdr:sp macro="" textlink="">
            <xdr:nvSpPr>
              <xdr:cNvPr id="12" name="Rectangle 11">
                <a:extLst>
                  <a:ext uri="{FF2B5EF4-FFF2-40B4-BE49-F238E27FC236}">
                    <a16:creationId xmlns:a16="http://schemas.microsoft.com/office/drawing/2014/main" id="{A5C499AD-D8B8-4311-9E09-D6B82D3163DE}"/>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Name:</a:t>
                </a:r>
              </a:p>
            </xdr:txBody>
          </xdr:sp>
          <xdr:sp macro="" textlink="">
            <xdr:nvSpPr>
              <xdr:cNvPr id="13" name="Rectangle 12">
                <a:extLst>
                  <a:ext uri="{FF2B5EF4-FFF2-40B4-BE49-F238E27FC236}">
                    <a16:creationId xmlns:a16="http://schemas.microsoft.com/office/drawing/2014/main" id="{C7CFF673-B13A-48FD-9C2F-D1A3A283AF84}"/>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Name:</a:t>
                </a:r>
              </a:p>
            </xdr:txBody>
          </xdr:sp>
        </xdr:grpSp>
      </xdr:grpSp>
      <xdr:grpSp>
        <xdr:nvGrpSpPr>
          <xdr:cNvPr id="5" name="Group 4">
            <a:extLst>
              <a:ext uri="{FF2B5EF4-FFF2-40B4-BE49-F238E27FC236}">
                <a16:creationId xmlns:a16="http://schemas.microsoft.com/office/drawing/2014/main" id="{312BA389-E5F2-4428-BBD4-88BAA9D3AF34}"/>
              </a:ext>
            </a:extLst>
          </xdr:cNvPr>
          <xdr:cNvGrpSpPr/>
        </xdr:nvGrpSpPr>
        <xdr:grpSpPr>
          <a:xfrm>
            <a:off x="63500" y="8718550"/>
            <a:ext cx="6432550" cy="222250"/>
            <a:chOff x="50800" y="8020050"/>
            <a:chExt cx="6432550" cy="228600"/>
          </a:xfrm>
        </xdr:grpSpPr>
        <xdr:sp macro="" textlink="">
          <xdr:nvSpPr>
            <xdr:cNvPr id="6" name="Rectangle 5">
              <a:extLst>
                <a:ext uri="{FF2B5EF4-FFF2-40B4-BE49-F238E27FC236}">
                  <a16:creationId xmlns:a16="http://schemas.microsoft.com/office/drawing/2014/main" id="{7A84614C-3F02-4D39-8532-065F087D29D4}"/>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Date:</a:t>
              </a:r>
            </a:p>
          </xdr:txBody>
        </xdr:sp>
        <xdr:sp macro="" textlink="">
          <xdr:nvSpPr>
            <xdr:cNvPr id="7" name="Rectangle 6">
              <a:extLst>
                <a:ext uri="{FF2B5EF4-FFF2-40B4-BE49-F238E27FC236}">
                  <a16:creationId xmlns:a16="http://schemas.microsoft.com/office/drawing/2014/main" id="{51AF1056-6408-41C1-825A-D51077AB56A1}"/>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Date:</a:t>
              </a:r>
            </a:p>
          </xdr:txBody>
        </xdr:sp>
        <xdr:sp macro="" textlink="">
          <xdr:nvSpPr>
            <xdr:cNvPr id="8" name="Rectangle 7">
              <a:extLst>
                <a:ext uri="{FF2B5EF4-FFF2-40B4-BE49-F238E27FC236}">
                  <a16:creationId xmlns:a16="http://schemas.microsoft.com/office/drawing/2014/main" id="{3E0B0EC2-1C8B-445E-82A3-9EC9698A1688}"/>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Date:</a:t>
              </a: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4270</xdr:colOff>
      <xdr:row>32</xdr:row>
      <xdr:rowOff>65690</xdr:rowOff>
    </xdr:from>
    <xdr:to>
      <xdr:col>8</xdr:col>
      <xdr:colOff>4482</xdr:colOff>
      <xdr:row>44</xdr:row>
      <xdr:rowOff>56030</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89647</xdr:colOff>
      <xdr:row>43</xdr:row>
      <xdr:rowOff>179291</xdr:rowOff>
    </xdr:from>
    <xdr:to>
      <xdr:col>7</xdr:col>
      <xdr:colOff>649941</xdr:colOff>
      <xdr:row>50</xdr:row>
      <xdr:rowOff>156879</xdr:rowOff>
    </xdr:to>
    <xdr:grpSp>
      <xdr:nvGrpSpPr>
        <xdr:cNvPr id="3" name="Group 2">
          <a:extLst>
            <a:ext uri="{FF2B5EF4-FFF2-40B4-BE49-F238E27FC236}">
              <a16:creationId xmlns:a16="http://schemas.microsoft.com/office/drawing/2014/main" id="{5C07E917-ED3F-4683-A8A0-DD6907F09800}"/>
            </a:ext>
          </a:extLst>
        </xdr:cNvPr>
        <xdr:cNvGrpSpPr/>
      </xdr:nvGrpSpPr>
      <xdr:grpSpPr>
        <a:xfrm>
          <a:off x="89647" y="8180291"/>
          <a:ext cx="6645088" cy="1311088"/>
          <a:chOff x="63500" y="7639050"/>
          <a:chExt cx="6432550" cy="1301750"/>
        </a:xfrm>
      </xdr:grpSpPr>
      <xdr:grpSp>
        <xdr:nvGrpSpPr>
          <xdr:cNvPr id="4" name="Group 3">
            <a:extLst>
              <a:ext uri="{FF2B5EF4-FFF2-40B4-BE49-F238E27FC236}">
                <a16:creationId xmlns:a16="http://schemas.microsoft.com/office/drawing/2014/main" id="{428C618D-F9EA-46E1-9F7B-488549639CF3}"/>
              </a:ext>
            </a:extLst>
          </xdr:cNvPr>
          <xdr:cNvGrpSpPr/>
        </xdr:nvGrpSpPr>
        <xdr:grpSpPr>
          <a:xfrm>
            <a:off x="63500" y="7639050"/>
            <a:ext cx="6432550" cy="1079500"/>
            <a:chOff x="63500" y="7639050"/>
            <a:chExt cx="6432550" cy="1079500"/>
          </a:xfrm>
        </xdr:grpSpPr>
        <xdr:grpSp>
          <xdr:nvGrpSpPr>
            <xdr:cNvPr id="9" name="Group 8">
              <a:extLst>
                <a:ext uri="{FF2B5EF4-FFF2-40B4-BE49-F238E27FC236}">
                  <a16:creationId xmlns:a16="http://schemas.microsoft.com/office/drawing/2014/main" id="{E4FCBF0B-C48C-47C2-8D16-F7ECE4DD2A76}"/>
                </a:ext>
              </a:extLst>
            </xdr:cNvPr>
            <xdr:cNvGrpSpPr/>
          </xdr:nvGrpSpPr>
          <xdr:grpSpPr>
            <a:xfrm>
              <a:off x="63500" y="7639050"/>
              <a:ext cx="6432550" cy="857250"/>
              <a:chOff x="50800" y="8020050"/>
              <a:chExt cx="6432550" cy="857250"/>
            </a:xfrm>
          </xdr:grpSpPr>
          <xdr:grpSp>
            <xdr:nvGrpSpPr>
              <xdr:cNvPr id="14" name="Group 13">
                <a:extLst>
                  <a:ext uri="{FF2B5EF4-FFF2-40B4-BE49-F238E27FC236}">
                    <a16:creationId xmlns:a16="http://schemas.microsoft.com/office/drawing/2014/main" id="{DF7DA42F-7AA3-46DB-A2E4-0408FE3ED5F9}"/>
                  </a:ext>
                </a:extLst>
              </xdr:cNvPr>
              <xdr:cNvGrpSpPr/>
            </xdr:nvGrpSpPr>
            <xdr:grpSpPr>
              <a:xfrm>
                <a:off x="50800" y="8020050"/>
                <a:ext cx="6432550" cy="228600"/>
                <a:chOff x="50800" y="8020050"/>
                <a:chExt cx="6432550" cy="228600"/>
              </a:xfrm>
            </xdr:grpSpPr>
            <xdr:sp macro="" textlink="">
              <xdr:nvSpPr>
                <xdr:cNvPr id="19" name="Rectangle 18">
                  <a:extLst>
                    <a:ext uri="{FF2B5EF4-FFF2-40B4-BE49-F238E27FC236}">
                      <a16:creationId xmlns:a16="http://schemas.microsoft.com/office/drawing/2014/main" id="{27CC00C4-9962-4520-8911-177AEF20DC02}"/>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n-MY">
                      <a:solidFill>
                        <a:sysClr val="windowText" lastClr="000000"/>
                      </a:solidFill>
                    </a:rPr>
                    <a:t>FACILITATOR</a:t>
                  </a:r>
                </a:p>
              </xdr:txBody>
            </xdr:sp>
            <xdr:sp macro="" textlink="">
              <xdr:nvSpPr>
                <xdr:cNvPr id="20" name="Rectangle 19">
                  <a:extLst>
                    <a:ext uri="{FF2B5EF4-FFF2-40B4-BE49-F238E27FC236}">
                      <a16:creationId xmlns:a16="http://schemas.microsoft.com/office/drawing/2014/main" id="{ED5BBBC3-3044-4A52-B1C8-64357CB9169E}"/>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n-MY">
                      <a:solidFill>
                        <a:sysClr val="windowText" lastClr="000000"/>
                      </a:solidFill>
                    </a:rPr>
                    <a:t>PROJECT OWNER</a:t>
                  </a:r>
                </a:p>
              </xdr:txBody>
            </xdr:sp>
            <xdr:sp macro="" textlink="">
              <xdr:nvSpPr>
                <xdr:cNvPr id="21" name="Rectangle 20">
                  <a:extLst>
                    <a:ext uri="{FF2B5EF4-FFF2-40B4-BE49-F238E27FC236}">
                      <a16:creationId xmlns:a16="http://schemas.microsoft.com/office/drawing/2014/main" id="{63605C00-C2A2-44EC-8720-448BF2A013F3}"/>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n-MY">
                      <a:solidFill>
                        <a:sysClr val="windowText" lastClr="000000"/>
                      </a:solidFill>
                    </a:rPr>
                    <a:t>AUDITOR</a:t>
                  </a:r>
                </a:p>
              </xdr:txBody>
            </xdr:sp>
          </xdr:grpSp>
          <xdr:grpSp>
            <xdr:nvGrpSpPr>
              <xdr:cNvPr id="15" name="Group 14">
                <a:extLst>
                  <a:ext uri="{FF2B5EF4-FFF2-40B4-BE49-F238E27FC236}">
                    <a16:creationId xmlns:a16="http://schemas.microsoft.com/office/drawing/2014/main" id="{3A8564CE-6D5C-44BB-A854-6C410BEA703E}"/>
                  </a:ext>
                </a:extLst>
              </xdr:cNvPr>
              <xdr:cNvGrpSpPr/>
            </xdr:nvGrpSpPr>
            <xdr:grpSpPr>
              <a:xfrm>
                <a:off x="50800" y="8248650"/>
                <a:ext cx="6432550" cy="628650"/>
                <a:chOff x="50800" y="8020050"/>
                <a:chExt cx="6432550" cy="228600"/>
              </a:xfrm>
            </xdr:grpSpPr>
            <xdr:sp macro="" textlink="">
              <xdr:nvSpPr>
                <xdr:cNvPr id="16" name="Rectangle 15">
                  <a:extLst>
                    <a:ext uri="{FF2B5EF4-FFF2-40B4-BE49-F238E27FC236}">
                      <a16:creationId xmlns:a16="http://schemas.microsoft.com/office/drawing/2014/main" id="{196A38FA-E521-4AF0-8958-D7BB5AEFA050}"/>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en-MY">
                    <a:solidFill>
                      <a:sysClr val="windowText" lastClr="000000"/>
                    </a:solidFill>
                  </a:endParaRPr>
                </a:p>
              </xdr:txBody>
            </xdr:sp>
            <xdr:sp macro="" textlink="">
              <xdr:nvSpPr>
                <xdr:cNvPr id="17" name="Rectangle 16">
                  <a:extLst>
                    <a:ext uri="{FF2B5EF4-FFF2-40B4-BE49-F238E27FC236}">
                      <a16:creationId xmlns:a16="http://schemas.microsoft.com/office/drawing/2014/main" id="{7BD38FB3-A649-4E33-B8E7-91509562C613}"/>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en-MY">
                    <a:solidFill>
                      <a:sysClr val="windowText" lastClr="000000"/>
                    </a:solidFill>
                  </a:endParaRPr>
                </a:p>
              </xdr:txBody>
            </xdr:sp>
            <xdr:sp macro="" textlink="">
              <xdr:nvSpPr>
                <xdr:cNvPr id="18" name="Rectangle 17">
                  <a:extLst>
                    <a:ext uri="{FF2B5EF4-FFF2-40B4-BE49-F238E27FC236}">
                      <a16:creationId xmlns:a16="http://schemas.microsoft.com/office/drawing/2014/main" id="{52E20041-5519-47D0-BCB7-FD8B43169C88}"/>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en-MY">
                    <a:solidFill>
                      <a:sysClr val="windowText" lastClr="000000"/>
                    </a:solidFill>
                  </a:endParaRPr>
                </a:p>
              </xdr:txBody>
            </xdr:sp>
          </xdr:grpSp>
        </xdr:grpSp>
        <xdr:grpSp>
          <xdr:nvGrpSpPr>
            <xdr:cNvPr id="10" name="Group 9">
              <a:extLst>
                <a:ext uri="{FF2B5EF4-FFF2-40B4-BE49-F238E27FC236}">
                  <a16:creationId xmlns:a16="http://schemas.microsoft.com/office/drawing/2014/main" id="{F61F5239-BC08-4DBE-BA4A-77C6A3C05413}"/>
                </a:ext>
              </a:extLst>
            </xdr:cNvPr>
            <xdr:cNvGrpSpPr/>
          </xdr:nvGrpSpPr>
          <xdr:grpSpPr>
            <a:xfrm>
              <a:off x="63500" y="8489950"/>
              <a:ext cx="6432550" cy="228600"/>
              <a:chOff x="50800" y="8020050"/>
              <a:chExt cx="6432550" cy="228600"/>
            </a:xfrm>
          </xdr:grpSpPr>
          <xdr:sp macro="" textlink="">
            <xdr:nvSpPr>
              <xdr:cNvPr id="11" name="Rectangle 10">
                <a:extLst>
                  <a:ext uri="{FF2B5EF4-FFF2-40B4-BE49-F238E27FC236}">
                    <a16:creationId xmlns:a16="http://schemas.microsoft.com/office/drawing/2014/main" id="{3D43440E-5EFC-4442-8AF3-74AB37887640}"/>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Name:</a:t>
                </a:r>
              </a:p>
            </xdr:txBody>
          </xdr:sp>
          <xdr:sp macro="" textlink="">
            <xdr:nvSpPr>
              <xdr:cNvPr id="12" name="Rectangle 11">
                <a:extLst>
                  <a:ext uri="{FF2B5EF4-FFF2-40B4-BE49-F238E27FC236}">
                    <a16:creationId xmlns:a16="http://schemas.microsoft.com/office/drawing/2014/main" id="{4E919E22-A5F1-43AA-9D0B-88DC1D0B1CDF}"/>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Name:</a:t>
                </a:r>
              </a:p>
            </xdr:txBody>
          </xdr:sp>
          <xdr:sp macro="" textlink="">
            <xdr:nvSpPr>
              <xdr:cNvPr id="13" name="Rectangle 12">
                <a:extLst>
                  <a:ext uri="{FF2B5EF4-FFF2-40B4-BE49-F238E27FC236}">
                    <a16:creationId xmlns:a16="http://schemas.microsoft.com/office/drawing/2014/main" id="{CE6DEA90-F32D-4EB3-9B2F-C6D0D9B3FA80}"/>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Name:</a:t>
                </a:r>
              </a:p>
            </xdr:txBody>
          </xdr:sp>
        </xdr:grpSp>
      </xdr:grpSp>
      <xdr:grpSp>
        <xdr:nvGrpSpPr>
          <xdr:cNvPr id="5" name="Group 4">
            <a:extLst>
              <a:ext uri="{FF2B5EF4-FFF2-40B4-BE49-F238E27FC236}">
                <a16:creationId xmlns:a16="http://schemas.microsoft.com/office/drawing/2014/main" id="{582848B1-93F1-4ABE-9C24-E0983B0AC88D}"/>
              </a:ext>
            </a:extLst>
          </xdr:cNvPr>
          <xdr:cNvGrpSpPr/>
        </xdr:nvGrpSpPr>
        <xdr:grpSpPr>
          <a:xfrm>
            <a:off x="63500" y="8718550"/>
            <a:ext cx="6432550" cy="222250"/>
            <a:chOff x="50800" y="8020050"/>
            <a:chExt cx="6432550" cy="228600"/>
          </a:xfrm>
        </xdr:grpSpPr>
        <xdr:sp macro="" textlink="">
          <xdr:nvSpPr>
            <xdr:cNvPr id="6" name="Rectangle 5">
              <a:extLst>
                <a:ext uri="{FF2B5EF4-FFF2-40B4-BE49-F238E27FC236}">
                  <a16:creationId xmlns:a16="http://schemas.microsoft.com/office/drawing/2014/main" id="{25CCDF0F-F617-4158-B6FE-D4AE4544C870}"/>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Date:</a:t>
              </a:r>
            </a:p>
          </xdr:txBody>
        </xdr:sp>
        <xdr:sp macro="" textlink="">
          <xdr:nvSpPr>
            <xdr:cNvPr id="7" name="Rectangle 6">
              <a:extLst>
                <a:ext uri="{FF2B5EF4-FFF2-40B4-BE49-F238E27FC236}">
                  <a16:creationId xmlns:a16="http://schemas.microsoft.com/office/drawing/2014/main" id="{CC2EB213-3376-4ACA-8045-9DFFB27A3592}"/>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Date:</a:t>
              </a:r>
            </a:p>
          </xdr:txBody>
        </xdr:sp>
        <xdr:sp macro="" textlink="">
          <xdr:nvSpPr>
            <xdr:cNvPr id="8" name="Rectangle 7">
              <a:extLst>
                <a:ext uri="{FF2B5EF4-FFF2-40B4-BE49-F238E27FC236}">
                  <a16:creationId xmlns:a16="http://schemas.microsoft.com/office/drawing/2014/main" id="{13082F07-EA66-47C4-B5FD-D261860CF59F}"/>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Date:</a:t>
              </a: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55257</xdr:colOff>
      <xdr:row>33</xdr:row>
      <xdr:rowOff>68035</xdr:rowOff>
    </xdr:from>
    <xdr:to>
      <xdr:col>8</xdr:col>
      <xdr:colOff>626757</xdr:colOff>
      <xdr:row>43</xdr:row>
      <xdr:rowOff>156882</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100853</xdr:colOff>
      <xdr:row>44</xdr:row>
      <xdr:rowOff>0</xdr:rowOff>
    </xdr:from>
    <xdr:to>
      <xdr:col>8</xdr:col>
      <xdr:colOff>593912</xdr:colOff>
      <xdr:row>50</xdr:row>
      <xdr:rowOff>168088</xdr:rowOff>
    </xdr:to>
    <xdr:grpSp>
      <xdr:nvGrpSpPr>
        <xdr:cNvPr id="3" name="Group 2">
          <a:extLst>
            <a:ext uri="{FF2B5EF4-FFF2-40B4-BE49-F238E27FC236}">
              <a16:creationId xmlns:a16="http://schemas.microsoft.com/office/drawing/2014/main" id="{FA18A6F0-93EC-4008-A5D5-84DF4B9E7559}"/>
            </a:ext>
          </a:extLst>
        </xdr:cNvPr>
        <xdr:cNvGrpSpPr/>
      </xdr:nvGrpSpPr>
      <xdr:grpSpPr>
        <a:xfrm>
          <a:off x="100853" y="8191500"/>
          <a:ext cx="6645088" cy="1311088"/>
          <a:chOff x="63500" y="7639050"/>
          <a:chExt cx="6432550" cy="1301750"/>
        </a:xfrm>
      </xdr:grpSpPr>
      <xdr:grpSp>
        <xdr:nvGrpSpPr>
          <xdr:cNvPr id="4" name="Group 3">
            <a:extLst>
              <a:ext uri="{FF2B5EF4-FFF2-40B4-BE49-F238E27FC236}">
                <a16:creationId xmlns:a16="http://schemas.microsoft.com/office/drawing/2014/main" id="{9B036568-10B5-4620-81FB-0CA08013A379}"/>
              </a:ext>
            </a:extLst>
          </xdr:cNvPr>
          <xdr:cNvGrpSpPr/>
        </xdr:nvGrpSpPr>
        <xdr:grpSpPr>
          <a:xfrm>
            <a:off x="63500" y="7639050"/>
            <a:ext cx="6432550" cy="1079500"/>
            <a:chOff x="63500" y="7639050"/>
            <a:chExt cx="6432550" cy="1079500"/>
          </a:xfrm>
        </xdr:grpSpPr>
        <xdr:grpSp>
          <xdr:nvGrpSpPr>
            <xdr:cNvPr id="9" name="Group 8">
              <a:extLst>
                <a:ext uri="{FF2B5EF4-FFF2-40B4-BE49-F238E27FC236}">
                  <a16:creationId xmlns:a16="http://schemas.microsoft.com/office/drawing/2014/main" id="{5E748081-4012-4250-B116-83517546006C}"/>
                </a:ext>
              </a:extLst>
            </xdr:cNvPr>
            <xdr:cNvGrpSpPr/>
          </xdr:nvGrpSpPr>
          <xdr:grpSpPr>
            <a:xfrm>
              <a:off x="63500" y="7639050"/>
              <a:ext cx="6432550" cy="857250"/>
              <a:chOff x="50800" y="8020050"/>
              <a:chExt cx="6432550" cy="857250"/>
            </a:xfrm>
          </xdr:grpSpPr>
          <xdr:grpSp>
            <xdr:nvGrpSpPr>
              <xdr:cNvPr id="14" name="Group 13">
                <a:extLst>
                  <a:ext uri="{FF2B5EF4-FFF2-40B4-BE49-F238E27FC236}">
                    <a16:creationId xmlns:a16="http://schemas.microsoft.com/office/drawing/2014/main" id="{452A2807-9C68-4842-A219-EA59DC6F6547}"/>
                  </a:ext>
                </a:extLst>
              </xdr:cNvPr>
              <xdr:cNvGrpSpPr/>
            </xdr:nvGrpSpPr>
            <xdr:grpSpPr>
              <a:xfrm>
                <a:off x="50800" y="8020050"/>
                <a:ext cx="6432550" cy="228600"/>
                <a:chOff x="50800" y="8020050"/>
                <a:chExt cx="6432550" cy="228600"/>
              </a:xfrm>
            </xdr:grpSpPr>
            <xdr:sp macro="" textlink="">
              <xdr:nvSpPr>
                <xdr:cNvPr id="19" name="Rectangle 18">
                  <a:extLst>
                    <a:ext uri="{FF2B5EF4-FFF2-40B4-BE49-F238E27FC236}">
                      <a16:creationId xmlns:a16="http://schemas.microsoft.com/office/drawing/2014/main" id="{EB550BFA-496A-4990-A02C-62F5119FBD2F}"/>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n-MY">
                      <a:solidFill>
                        <a:sysClr val="windowText" lastClr="000000"/>
                      </a:solidFill>
                    </a:rPr>
                    <a:t>FACILITATOR</a:t>
                  </a:r>
                </a:p>
              </xdr:txBody>
            </xdr:sp>
            <xdr:sp macro="" textlink="">
              <xdr:nvSpPr>
                <xdr:cNvPr id="20" name="Rectangle 19">
                  <a:extLst>
                    <a:ext uri="{FF2B5EF4-FFF2-40B4-BE49-F238E27FC236}">
                      <a16:creationId xmlns:a16="http://schemas.microsoft.com/office/drawing/2014/main" id="{9411FCCF-A555-427A-9653-A1210FD956B6}"/>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n-MY">
                      <a:solidFill>
                        <a:sysClr val="windowText" lastClr="000000"/>
                      </a:solidFill>
                    </a:rPr>
                    <a:t>PROJECT OWNER</a:t>
                  </a:r>
                </a:p>
              </xdr:txBody>
            </xdr:sp>
            <xdr:sp macro="" textlink="">
              <xdr:nvSpPr>
                <xdr:cNvPr id="21" name="Rectangle 20">
                  <a:extLst>
                    <a:ext uri="{FF2B5EF4-FFF2-40B4-BE49-F238E27FC236}">
                      <a16:creationId xmlns:a16="http://schemas.microsoft.com/office/drawing/2014/main" id="{C477793C-ABFA-4416-A7F2-229F83633861}"/>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n-MY">
                      <a:solidFill>
                        <a:sysClr val="windowText" lastClr="000000"/>
                      </a:solidFill>
                    </a:rPr>
                    <a:t>AUDITOR</a:t>
                  </a:r>
                </a:p>
              </xdr:txBody>
            </xdr:sp>
          </xdr:grpSp>
          <xdr:grpSp>
            <xdr:nvGrpSpPr>
              <xdr:cNvPr id="15" name="Group 14">
                <a:extLst>
                  <a:ext uri="{FF2B5EF4-FFF2-40B4-BE49-F238E27FC236}">
                    <a16:creationId xmlns:a16="http://schemas.microsoft.com/office/drawing/2014/main" id="{6FE2D784-EAA8-4B17-819E-D5DFDBE7C688}"/>
                  </a:ext>
                </a:extLst>
              </xdr:cNvPr>
              <xdr:cNvGrpSpPr/>
            </xdr:nvGrpSpPr>
            <xdr:grpSpPr>
              <a:xfrm>
                <a:off x="50800" y="8248650"/>
                <a:ext cx="6432550" cy="628650"/>
                <a:chOff x="50800" y="8020050"/>
                <a:chExt cx="6432550" cy="228600"/>
              </a:xfrm>
            </xdr:grpSpPr>
            <xdr:sp macro="" textlink="">
              <xdr:nvSpPr>
                <xdr:cNvPr id="16" name="Rectangle 15">
                  <a:extLst>
                    <a:ext uri="{FF2B5EF4-FFF2-40B4-BE49-F238E27FC236}">
                      <a16:creationId xmlns:a16="http://schemas.microsoft.com/office/drawing/2014/main" id="{596CD856-044C-40D6-9F4E-F6A32AD59961}"/>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en-MY">
                    <a:solidFill>
                      <a:sysClr val="windowText" lastClr="000000"/>
                    </a:solidFill>
                  </a:endParaRPr>
                </a:p>
              </xdr:txBody>
            </xdr:sp>
            <xdr:sp macro="" textlink="">
              <xdr:nvSpPr>
                <xdr:cNvPr id="17" name="Rectangle 16">
                  <a:extLst>
                    <a:ext uri="{FF2B5EF4-FFF2-40B4-BE49-F238E27FC236}">
                      <a16:creationId xmlns:a16="http://schemas.microsoft.com/office/drawing/2014/main" id="{CC7132A4-D3E4-419F-BF19-2367047C119F}"/>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en-MY">
                    <a:solidFill>
                      <a:sysClr val="windowText" lastClr="000000"/>
                    </a:solidFill>
                  </a:endParaRPr>
                </a:p>
              </xdr:txBody>
            </xdr:sp>
            <xdr:sp macro="" textlink="">
              <xdr:nvSpPr>
                <xdr:cNvPr id="18" name="Rectangle 17">
                  <a:extLst>
                    <a:ext uri="{FF2B5EF4-FFF2-40B4-BE49-F238E27FC236}">
                      <a16:creationId xmlns:a16="http://schemas.microsoft.com/office/drawing/2014/main" id="{E40821D2-0839-46A0-BE8E-0CC43963F324}"/>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en-MY">
                    <a:solidFill>
                      <a:sysClr val="windowText" lastClr="000000"/>
                    </a:solidFill>
                  </a:endParaRPr>
                </a:p>
              </xdr:txBody>
            </xdr:sp>
          </xdr:grpSp>
        </xdr:grpSp>
        <xdr:grpSp>
          <xdr:nvGrpSpPr>
            <xdr:cNvPr id="10" name="Group 9">
              <a:extLst>
                <a:ext uri="{FF2B5EF4-FFF2-40B4-BE49-F238E27FC236}">
                  <a16:creationId xmlns:a16="http://schemas.microsoft.com/office/drawing/2014/main" id="{BD9C93E1-BEBA-41A0-999F-BBD7EE0AA2F2}"/>
                </a:ext>
              </a:extLst>
            </xdr:cNvPr>
            <xdr:cNvGrpSpPr/>
          </xdr:nvGrpSpPr>
          <xdr:grpSpPr>
            <a:xfrm>
              <a:off x="63500" y="8489950"/>
              <a:ext cx="6432550" cy="228600"/>
              <a:chOff x="50800" y="8020050"/>
              <a:chExt cx="6432550" cy="228600"/>
            </a:xfrm>
          </xdr:grpSpPr>
          <xdr:sp macro="" textlink="">
            <xdr:nvSpPr>
              <xdr:cNvPr id="11" name="Rectangle 10">
                <a:extLst>
                  <a:ext uri="{FF2B5EF4-FFF2-40B4-BE49-F238E27FC236}">
                    <a16:creationId xmlns:a16="http://schemas.microsoft.com/office/drawing/2014/main" id="{761FF2BE-D0D5-4609-8A44-1F2392D6D656}"/>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Name:</a:t>
                </a:r>
              </a:p>
            </xdr:txBody>
          </xdr:sp>
          <xdr:sp macro="" textlink="">
            <xdr:nvSpPr>
              <xdr:cNvPr id="12" name="Rectangle 11">
                <a:extLst>
                  <a:ext uri="{FF2B5EF4-FFF2-40B4-BE49-F238E27FC236}">
                    <a16:creationId xmlns:a16="http://schemas.microsoft.com/office/drawing/2014/main" id="{9758D7DC-E1DB-4481-A835-5311B75B82BC}"/>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Name:</a:t>
                </a:r>
              </a:p>
            </xdr:txBody>
          </xdr:sp>
          <xdr:sp macro="" textlink="">
            <xdr:nvSpPr>
              <xdr:cNvPr id="13" name="Rectangle 12">
                <a:extLst>
                  <a:ext uri="{FF2B5EF4-FFF2-40B4-BE49-F238E27FC236}">
                    <a16:creationId xmlns:a16="http://schemas.microsoft.com/office/drawing/2014/main" id="{F78B7E99-C27A-41B5-89B9-025DBAD6869C}"/>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Name:</a:t>
                </a:r>
              </a:p>
            </xdr:txBody>
          </xdr:sp>
        </xdr:grpSp>
      </xdr:grpSp>
      <xdr:grpSp>
        <xdr:nvGrpSpPr>
          <xdr:cNvPr id="5" name="Group 4">
            <a:extLst>
              <a:ext uri="{FF2B5EF4-FFF2-40B4-BE49-F238E27FC236}">
                <a16:creationId xmlns:a16="http://schemas.microsoft.com/office/drawing/2014/main" id="{CD7F038F-7E52-4AEE-B88A-8FC6E45C22AA}"/>
              </a:ext>
            </a:extLst>
          </xdr:cNvPr>
          <xdr:cNvGrpSpPr/>
        </xdr:nvGrpSpPr>
        <xdr:grpSpPr>
          <a:xfrm>
            <a:off x="63500" y="8718550"/>
            <a:ext cx="6432550" cy="222250"/>
            <a:chOff x="50800" y="8020050"/>
            <a:chExt cx="6432550" cy="228600"/>
          </a:xfrm>
        </xdr:grpSpPr>
        <xdr:sp macro="" textlink="">
          <xdr:nvSpPr>
            <xdr:cNvPr id="6" name="Rectangle 5">
              <a:extLst>
                <a:ext uri="{FF2B5EF4-FFF2-40B4-BE49-F238E27FC236}">
                  <a16:creationId xmlns:a16="http://schemas.microsoft.com/office/drawing/2014/main" id="{69C0CD12-E6DA-464A-9F03-4B5ADF770268}"/>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Date:</a:t>
              </a:r>
            </a:p>
          </xdr:txBody>
        </xdr:sp>
        <xdr:sp macro="" textlink="">
          <xdr:nvSpPr>
            <xdr:cNvPr id="7" name="Rectangle 6">
              <a:extLst>
                <a:ext uri="{FF2B5EF4-FFF2-40B4-BE49-F238E27FC236}">
                  <a16:creationId xmlns:a16="http://schemas.microsoft.com/office/drawing/2014/main" id="{511DFBBB-6447-498C-9EE5-77F0956DF060}"/>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Date:</a:t>
              </a:r>
            </a:p>
          </xdr:txBody>
        </xdr:sp>
        <xdr:sp macro="" textlink="">
          <xdr:nvSpPr>
            <xdr:cNvPr id="8" name="Rectangle 7">
              <a:extLst>
                <a:ext uri="{FF2B5EF4-FFF2-40B4-BE49-F238E27FC236}">
                  <a16:creationId xmlns:a16="http://schemas.microsoft.com/office/drawing/2014/main" id="{10310F8A-E2BA-4DAD-9A44-EEAAC8364080}"/>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Date:</a:t>
              </a: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106055</xdr:colOff>
      <xdr:row>34</xdr:row>
      <xdr:rowOff>31377</xdr:rowOff>
    </xdr:from>
    <xdr:to>
      <xdr:col>8</xdr:col>
      <xdr:colOff>829235</xdr:colOff>
      <xdr:row>44</xdr:row>
      <xdr:rowOff>92760</xdr:rowOff>
    </xdr:to>
    <xdr:graphicFrame macro="">
      <xdr:nvGraphicFramePr>
        <xdr:cNvPr id="3" name="Chart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89648</xdr:colOff>
      <xdr:row>44</xdr:row>
      <xdr:rowOff>123265</xdr:rowOff>
    </xdr:from>
    <xdr:to>
      <xdr:col>8</xdr:col>
      <xdr:colOff>661148</xdr:colOff>
      <xdr:row>51</xdr:row>
      <xdr:rowOff>100853</xdr:rowOff>
    </xdr:to>
    <xdr:grpSp>
      <xdr:nvGrpSpPr>
        <xdr:cNvPr id="4" name="Group 3">
          <a:extLst>
            <a:ext uri="{FF2B5EF4-FFF2-40B4-BE49-F238E27FC236}">
              <a16:creationId xmlns:a16="http://schemas.microsoft.com/office/drawing/2014/main" id="{B7AE492F-585D-431D-AD02-76778C223DC7}"/>
            </a:ext>
          </a:extLst>
        </xdr:cNvPr>
        <xdr:cNvGrpSpPr/>
      </xdr:nvGrpSpPr>
      <xdr:grpSpPr>
        <a:xfrm>
          <a:off x="89648" y="8169089"/>
          <a:ext cx="6645088" cy="1311088"/>
          <a:chOff x="63500" y="7639050"/>
          <a:chExt cx="6432550" cy="1301750"/>
        </a:xfrm>
      </xdr:grpSpPr>
      <xdr:grpSp>
        <xdr:nvGrpSpPr>
          <xdr:cNvPr id="5" name="Group 4">
            <a:extLst>
              <a:ext uri="{FF2B5EF4-FFF2-40B4-BE49-F238E27FC236}">
                <a16:creationId xmlns:a16="http://schemas.microsoft.com/office/drawing/2014/main" id="{460D8B20-3F42-4841-8BC1-D7F1907A74CF}"/>
              </a:ext>
            </a:extLst>
          </xdr:cNvPr>
          <xdr:cNvGrpSpPr/>
        </xdr:nvGrpSpPr>
        <xdr:grpSpPr>
          <a:xfrm>
            <a:off x="63500" y="7639050"/>
            <a:ext cx="6432550" cy="1079500"/>
            <a:chOff x="63500" y="7639050"/>
            <a:chExt cx="6432550" cy="1079500"/>
          </a:xfrm>
        </xdr:grpSpPr>
        <xdr:grpSp>
          <xdr:nvGrpSpPr>
            <xdr:cNvPr id="10" name="Group 9">
              <a:extLst>
                <a:ext uri="{FF2B5EF4-FFF2-40B4-BE49-F238E27FC236}">
                  <a16:creationId xmlns:a16="http://schemas.microsoft.com/office/drawing/2014/main" id="{FBB98812-5094-4FB0-9816-46C68D43C37C}"/>
                </a:ext>
              </a:extLst>
            </xdr:cNvPr>
            <xdr:cNvGrpSpPr/>
          </xdr:nvGrpSpPr>
          <xdr:grpSpPr>
            <a:xfrm>
              <a:off x="63500" y="7639050"/>
              <a:ext cx="6432550" cy="857250"/>
              <a:chOff x="50800" y="8020050"/>
              <a:chExt cx="6432550" cy="857250"/>
            </a:xfrm>
          </xdr:grpSpPr>
          <xdr:grpSp>
            <xdr:nvGrpSpPr>
              <xdr:cNvPr id="15" name="Group 14">
                <a:extLst>
                  <a:ext uri="{FF2B5EF4-FFF2-40B4-BE49-F238E27FC236}">
                    <a16:creationId xmlns:a16="http://schemas.microsoft.com/office/drawing/2014/main" id="{D038EFB8-677B-40BC-8088-103625FED99C}"/>
                  </a:ext>
                </a:extLst>
              </xdr:cNvPr>
              <xdr:cNvGrpSpPr/>
            </xdr:nvGrpSpPr>
            <xdr:grpSpPr>
              <a:xfrm>
                <a:off x="50800" y="8020050"/>
                <a:ext cx="6432550" cy="228600"/>
                <a:chOff x="50800" y="8020050"/>
                <a:chExt cx="6432550" cy="228600"/>
              </a:xfrm>
            </xdr:grpSpPr>
            <xdr:sp macro="" textlink="">
              <xdr:nvSpPr>
                <xdr:cNvPr id="20" name="Rectangle 19">
                  <a:extLst>
                    <a:ext uri="{FF2B5EF4-FFF2-40B4-BE49-F238E27FC236}">
                      <a16:creationId xmlns:a16="http://schemas.microsoft.com/office/drawing/2014/main" id="{AAE8F514-967A-471B-BE9A-CEC06490558C}"/>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n-MY">
                      <a:solidFill>
                        <a:sysClr val="windowText" lastClr="000000"/>
                      </a:solidFill>
                    </a:rPr>
                    <a:t>FACILITATOR</a:t>
                  </a:r>
                </a:p>
              </xdr:txBody>
            </xdr:sp>
            <xdr:sp macro="" textlink="">
              <xdr:nvSpPr>
                <xdr:cNvPr id="21" name="Rectangle 20">
                  <a:extLst>
                    <a:ext uri="{FF2B5EF4-FFF2-40B4-BE49-F238E27FC236}">
                      <a16:creationId xmlns:a16="http://schemas.microsoft.com/office/drawing/2014/main" id="{C456425A-B441-4157-8ACF-6C06B079DCCE}"/>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n-MY">
                      <a:solidFill>
                        <a:sysClr val="windowText" lastClr="000000"/>
                      </a:solidFill>
                    </a:rPr>
                    <a:t>PROJECT OWNER</a:t>
                  </a:r>
                </a:p>
              </xdr:txBody>
            </xdr:sp>
            <xdr:sp macro="" textlink="">
              <xdr:nvSpPr>
                <xdr:cNvPr id="22" name="Rectangle 21">
                  <a:extLst>
                    <a:ext uri="{FF2B5EF4-FFF2-40B4-BE49-F238E27FC236}">
                      <a16:creationId xmlns:a16="http://schemas.microsoft.com/office/drawing/2014/main" id="{A6671189-C530-462F-BAE4-BD5B0E8FD124}"/>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n-MY">
                      <a:solidFill>
                        <a:sysClr val="windowText" lastClr="000000"/>
                      </a:solidFill>
                    </a:rPr>
                    <a:t>AUDITOR</a:t>
                  </a:r>
                </a:p>
              </xdr:txBody>
            </xdr:sp>
          </xdr:grpSp>
          <xdr:grpSp>
            <xdr:nvGrpSpPr>
              <xdr:cNvPr id="16" name="Group 15">
                <a:extLst>
                  <a:ext uri="{FF2B5EF4-FFF2-40B4-BE49-F238E27FC236}">
                    <a16:creationId xmlns:a16="http://schemas.microsoft.com/office/drawing/2014/main" id="{BF4124DE-36B5-4B97-86A5-BD4E85A08BBD}"/>
                  </a:ext>
                </a:extLst>
              </xdr:cNvPr>
              <xdr:cNvGrpSpPr/>
            </xdr:nvGrpSpPr>
            <xdr:grpSpPr>
              <a:xfrm>
                <a:off x="50800" y="8248650"/>
                <a:ext cx="6432550" cy="628650"/>
                <a:chOff x="50800" y="8020050"/>
                <a:chExt cx="6432550" cy="228600"/>
              </a:xfrm>
            </xdr:grpSpPr>
            <xdr:sp macro="" textlink="">
              <xdr:nvSpPr>
                <xdr:cNvPr id="17" name="Rectangle 16">
                  <a:extLst>
                    <a:ext uri="{FF2B5EF4-FFF2-40B4-BE49-F238E27FC236}">
                      <a16:creationId xmlns:a16="http://schemas.microsoft.com/office/drawing/2014/main" id="{6A359C04-78ED-4477-BE86-00437E8280F1}"/>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en-MY">
                    <a:solidFill>
                      <a:sysClr val="windowText" lastClr="000000"/>
                    </a:solidFill>
                  </a:endParaRPr>
                </a:p>
              </xdr:txBody>
            </xdr:sp>
            <xdr:sp macro="" textlink="">
              <xdr:nvSpPr>
                <xdr:cNvPr id="18" name="Rectangle 17">
                  <a:extLst>
                    <a:ext uri="{FF2B5EF4-FFF2-40B4-BE49-F238E27FC236}">
                      <a16:creationId xmlns:a16="http://schemas.microsoft.com/office/drawing/2014/main" id="{D78CDDBA-9DCC-4245-89E2-D9F06F6B9655}"/>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en-MY">
                    <a:solidFill>
                      <a:sysClr val="windowText" lastClr="000000"/>
                    </a:solidFill>
                  </a:endParaRPr>
                </a:p>
              </xdr:txBody>
            </xdr:sp>
            <xdr:sp macro="" textlink="">
              <xdr:nvSpPr>
                <xdr:cNvPr id="19" name="Rectangle 18">
                  <a:extLst>
                    <a:ext uri="{FF2B5EF4-FFF2-40B4-BE49-F238E27FC236}">
                      <a16:creationId xmlns:a16="http://schemas.microsoft.com/office/drawing/2014/main" id="{1DD903D0-2798-4FD9-966A-6F9B53D92B05}"/>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en-MY">
                    <a:solidFill>
                      <a:sysClr val="windowText" lastClr="000000"/>
                    </a:solidFill>
                  </a:endParaRPr>
                </a:p>
              </xdr:txBody>
            </xdr:sp>
          </xdr:grpSp>
        </xdr:grpSp>
        <xdr:grpSp>
          <xdr:nvGrpSpPr>
            <xdr:cNvPr id="11" name="Group 10">
              <a:extLst>
                <a:ext uri="{FF2B5EF4-FFF2-40B4-BE49-F238E27FC236}">
                  <a16:creationId xmlns:a16="http://schemas.microsoft.com/office/drawing/2014/main" id="{8E52464D-E809-4516-A98E-36ECA38EAE6E}"/>
                </a:ext>
              </a:extLst>
            </xdr:cNvPr>
            <xdr:cNvGrpSpPr/>
          </xdr:nvGrpSpPr>
          <xdr:grpSpPr>
            <a:xfrm>
              <a:off x="63500" y="8489950"/>
              <a:ext cx="6432550" cy="228600"/>
              <a:chOff x="50800" y="8020050"/>
              <a:chExt cx="6432550" cy="228600"/>
            </a:xfrm>
          </xdr:grpSpPr>
          <xdr:sp macro="" textlink="">
            <xdr:nvSpPr>
              <xdr:cNvPr id="12" name="Rectangle 11">
                <a:extLst>
                  <a:ext uri="{FF2B5EF4-FFF2-40B4-BE49-F238E27FC236}">
                    <a16:creationId xmlns:a16="http://schemas.microsoft.com/office/drawing/2014/main" id="{654277B1-5144-4623-8E07-39E8B17F7CB8}"/>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Name:</a:t>
                </a:r>
              </a:p>
            </xdr:txBody>
          </xdr:sp>
          <xdr:sp macro="" textlink="">
            <xdr:nvSpPr>
              <xdr:cNvPr id="13" name="Rectangle 12">
                <a:extLst>
                  <a:ext uri="{FF2B5EF4-FFF2-40B4-BE49-F238E27FC236}">
                    <a16:creationId xmlns:a16="http://schemas.microsoft.com/office/drawing/2014/main" id="{8270790B-A000-43E3-BC4D-BDEACF69522F}"/>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Name:</a:t>
                </a:r>
              </a:p>
            </xdr:txBody>
          </xdr:sp>
          <xdr:sp macro="" textlink="">
            <xdr:nvSpPr>
              <xdr:cNvPr id="14" name="Rectangle 13">
                <a:extLst>
                  <a:ext uri="{FF2B5EF4-FFF2-40B4-BE49-F238E27FC236}">
                    <a16:creationId xmlns:a16="http://schemas.microsoft.com/office/drawing/2014/main" id="{587CCF5B-B274-4FF8-BF37-83F97028D166}"/>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Name:</a:t>
                </a:r>
              </a:p>
            </xdr:txBody>
          </xdr:sp>
        </xdr:grpSp>
      </xdr:grpSp>
      <xdr:grpSp>
        <xdr:nvGrpSpPr>
          <xdr:cNvPr id="6" name="Group 5">
            <a:extLst>
              <a:ext uri="{FF2B5EF4-FFF2-40B4-BE49-F238E27FC236}">
                <a16:creationId xmlns:a16="http://schemas.microsoft.com/office/drawing/2014/main" id="{B0207E1A-6ED8-4BCF-9B42-CE1BCD02FA57}"/>
              </a:ext>
            </a:extLst>
          </xdr:cNvPr>
          <xdr:cNvGrpSpPr/>
        </xdr:nvGrpSpPr>
        <xdr:grpSpPr>
          <a:xfrm>
            <a:off x="63500" y="8718550"/>
            <a:ext cx="6432550" cy="222250"/>
            <a:chOff x="50800" y="8020050"/>
            <a:chExt cx="6432550" cy="228600"/>
          </a:xfrm>
        </xdr:grpSpPr>
        <xdr:sp macro="" textlink="">
          <xdr:nvSpPr>
            <xdr:cNvPr id="7" name="Rectangle 6">
              <a:extLst>
                <a:ext uri="{FF2B5EF4-FFF2-40B4-BE49-F238E27FC236}">
                  <a16:creationId xmlns:a16="http://schemas.microsoft.com/office/drawing/2014/main" id="{E728F7D8-8A80-469D-93AD-78D2DEB1D136}"/>
                </a:ext>
              </a:extLst>
            </xdr:cNvPr>
            <xdr:cNvSpPr/>
          </xdr:nvSpPr>
          <xdr:spPr>
            <a:xfrm>
              <a:off x="50800" y="8020050"/>
              <a:ext cx="2146300" cy="228599"/>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Date:</a:t>
              </a:r>
            </a:p>
          </xdr:txBody>
        </xdr:sp>
        <xdr:sp macro="" textlink="">
          <xdr:nvSpPr>
            <xdr:cNvPr id="8" name="Rectangle 7">
              <a:extLst>
                <a:ext uri="{FF2B5EF4-FFF2-40B4-BE49-F238E27FC236}">
                  <a16:creationId xmlns:a16="http://schemas.microsoft.com/office/drawing/2014/main" id="{130F406D-B4B3-4BD3-9A77-D96E8B722EED}"/>
                </a:ext>
              </a:extLst>
            </xdr:cNvPr>
            <xdr:cNvSpPr/>
          </xdr:nvSpPr>
          <xdr:spPr>
            <a:xfrm>
              <a:off x="219710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Date:</a:t>
              </a:r>
            </a:p>
          </xdr:txBody>
        </xdr:sp>
        <xdr:sp macro="" textlink="">
          <xdr:nvSpPr>
            <xdr:cNvPr id="9" name="Rectangle 8">
              <a:extLst>
                <a:ext uri="{FF2B5EF4-FFF2-40B4-BE49-F238E27FC236}">
                  <a16:creationId xmlns:a16="http://schemas.microsoft.com/office/drawing/2014/main" id="{5E2305E5-18C7-45BE-B4C0-5BBC83F2B4EE}"/>
                </a:ext>
              </a:extLst>
            </xdr:cNvPr>
            <xdr:cNvSpPr/>
          </xdr:nvSpPr>
          <xdr:spPr>
            <a:xfrm>
              <a:off x="4337050" y="8020050"/>
              <a:ext cx="2146300"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MY" b="1">
                  <a:solidFill>
                    <a:sysClr val="windowText" lastClr="000000"/>
                  </a:solidFill>
                </a:rPr>
                <a:t>Date:</a:t>
              </a:r>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E%20-%20PTM/Projects/@LCC2030C/2020%20LCC2030C%20Certification/MBSA/ALL%20AUDIT%2022.7.2020/11.SEC.14/@MfM%20Check/STANDARD-A/Zone%20Transport%20Calculator%20-%20CorridorUN-O,%20IN-FL%20201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20-%20PTM/Projects/@LCC2030C/2020%20LCC2030C%20Certification/MBSA/ALL%20AUDIT%2022.7.2020/11.SEC.14/@MfM%20Check/STANDARD-A/LCC%202030%20Challenge%20Data%20File%20-%20LCC%20Zone%20-%20STANDARD-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CC%202030%20Challenge%20Data%20File%20-%20LCC%20Partner%20-%20STANDARD-A%20REV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Zone%20Calculator%20V1P%20-%20STD%20TRANSPORT%20ONL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Section Traffic"/>
      <sheetName val="Fleet"/>
      <sheetName val="Calc1"/>
      <sheetName val="EFs"/>
      <sheetName val="Calc2"/>
      <sheetName val="CO2 Output"/>
      <sheetName val="Policy Assessment"/>
    </sheetNames>
    <sheetDataSet>
      <sheetData sheetId="0"/>
      <sheetData sheetId="1"/>
      <sheetData sheetId="2">
        <row r="30">
          <cell r="D30">
            <v>0</v>
          </cell>
        </row>
      </sheetData>
      <sheetData sheetId="3">
        <row r="33">
          <cell r="D33">
            <v>7719.21</v>
          </cell>
        </row>
      </sheetData>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old)"/>
      <sheetName val="BAU (Same Year)"/>
      <sheetName val="Summary (Main)"/>
      <sheetName val="BAU (Diff Year)"/>
      <sheetName val="Sheet3"/>
      <sheetName val="Energy"/>
      <sheetName val="Water"/>
      <sheetName val="Waste 1 - Actual"/>
      <sheetName val="Mobility 1 - Traffic"/>
      <sheetName val="Greenery &amp; Water Bodies"/>
      <sheetName val="Mobility 2 - Estimate"/>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ow r="21">
          <cell r="B21" t="str">
            <v>Motorcycle</v>
          </cell>
        </row>
        <row r="22">
          <cell r="A22">
            <v>2015</v>
          </cell>
        </row>
        <row r="23">
          <cell r="A23">
            <v>2016</v>
          </cell>
        </row>
        <row r="24">
          <cell r="A24">
            <v>2017</v>
          </cell>
        </row>
        <row r="25">
          <cell r="A25">
            <v>2018</v>
          </cell>
        </row>
        <row r="26">
          <cell r="A26">
            <v>2019</v>
          </cell>
        </row>
      </sheetData>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old)"/>
      <sheetName val="BAU (Same Year)"/>
      <sheetName val="Summary (Main)"/>
      <sheetName val="BAU (Diff Year)"/>
      <sheetName val="Sheet3"/>
      <sheetName val="Energy"/>
      <sheetName val="Water"/>
      <sheetName val="Waste 1 - Actual"/>
      <sheetName val="Waste 2 - Estimate"/>
      <sheetName val="Greenery &amp; Water Bodies"/>
      <sheetName val="Mobility 3 - Estimate"/>
    </sheetNames>
    <sheetDataSet>
      <sheetData sheetId="0" refreshError="1"/>
      <sheetData sheetId="1" refreshError="1"/>
      <sheetData sheetId="2">
        <row r="11">
          <cell r="D11" t="str">
            <v>LCC-P-B100-0X-000X</v>
          </cell>
        </row>
        <row r="12">
          <cell r="D12" t="str">
            <v>MAJLIS DAERAH XX</v>
          </cell>
        </row>
        <row r="13">
          <cell r="D13" t="str">
            <v>MAJLIS DAERAH XX</v>
          </cell>
        </row>
        <row r="14">
          <cell r="D14" t="str">
            <v>MDXX HQ</v>
          </cell>
        </row>
        <row r="15">
          <cell r="D15" t="str">
            <v>GOVERNMENT</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6B TRANSPORT"/>
      <sheetName val="SUMMARY OF RESULTS 4"/>
    </sheetNames>
    <sheetDataSet>
      <sheetData sheetId="0" refreshError="1"/>
      <sheetData sheetId="1">
        <row r="50">
          <cell r="X50">
            <v>4350</v>
          </cell>
        </row>
        <row r="51">
          <cell r="X51">
            <v>43272</v>
          </cell>
        </row>
        <row r="52">
          <cell r="X52">
            <v>4461</v>
          </cell>
        </row>
        <row r="53">
          <cell r="X53">
            <v>613</v>
          </cell>
        </row>
        <row r="54">
          <cell r="X54">
            <v>1553</v>
          </cell>
        </row>
        <row r="55">
          <cell r="X55">
            <v>1513</v>
          </cell>
        </row>
        <row r="60">
          <cell r="X60">
            <v>4524</v>
          </cell>
        </row>
        <row r="61">
          <cell r="X61">
            <v>45006</v>
          </cell>
        </row>
        <row r="62">
          <cell r="X62">
            <v>4640</v>
          </cell>
        </row>
        <row r="63">
          <cell r="X63">
            <v>637</v>
          </cell>
        </row>
        <row r="64">
          <cell r="X64">
            <v>1624</v>
          </cell>
        </row>
        <row r="65">
          <cell r="X65">
            <v>1567</v>
          </cell>
        </row>
        <row r="70">
          <cell r="X70">
            <v>4659</v>
          </cell>
        </row>
        <row r="71">
          <cell r="X71">
            <v>46356</v>
          </cell>
        </row>
        <row r="72">
          <cell r="X72">
            <v>4779</v>
          </cell>
        </row>
        <row r="73">
          <cell r="X73">
            <v>657</v>
          </cell>
        </row>
        <row r="74">
          <cell r="X74">
            <v>1673</v>
          </cell>
        </row>
        <row r="75">
          <cell r="X75">
            <v>1613</v>
          </cell>
        </row>
        <row r="84">
          <cell r="E84">
            <v>5.0204154724499999</v>
          </cell>
        </row>
        <row r="86">
          <cell r="E86">
            <v>1832.4516474442501</v>
          </cell>
        </row>
        <row r="93">
          <cell r="E93">
            <v>5.2057280445750003</v>
          </cell>
        </row>
        <row r="95">
          <cell r="E95">
            <v>1900.0907362698752</v>
          </cell>
        </row>
        <row r="102">
          <cell r="E102">
            <v>5.3617689264250004</v>
          </cell>
        </row>
        <row r="104">
          <cell r="E104">
            <v>1957.0456581451249</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3.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4.xml"/><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5.x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6.xml"/><Relationship Id="rId1" Type="http://schemas.openxmlformats.org/officeDocument/2006/relationships/printerSettings" Target="../printerSettings/printerSettings14.bin"/><Relationship Id="rId4" Type="http://schemas.openxmlformats.org/officeDocument/2006/relationships/comments" Target="../comments7.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7.xml"/><Relationship Id="rId1" Type="http://schemas.openxmlformats.org/officeDocument/2006/relationships/printerSettings" Target="../printerSettings/printerSettings15.bin"/><Relationship Id="rId4" Type="http://schemas.openxmlformats.org/officeDocument/2006/relationships/comments" Target="../comments8.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8.xml"/><Relationship Id="rId1" Type="http://schemas.openxmlformats.org/officeDocument/2006/relationships/printerSettings" Target="../printerSettings/printerSettings16.bin"/><Relationship Id="rId4" Type="http://schemas.openxmlformats.org/officeDocument/2006/relationships/comments" Target="../comments9.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98630-26C1-4B85-92B8-B56CB37B5ADB}">
  <sheetPr codeName="Sheet1"/>
  <dimension ref="A1:Q29"/>
  <sheetViews>
    <sheetView view="pageLayout" topLeftCell="A4" zoomScale="70" zoomScaleNormal="100" zoomScalePageLayoutView="70" workbookViewId="0">
      <selection activeCell="J16" sqref="J16"/>
    </sheetView>
  </sheetViews>
  <sheetFormatPr defaultRowHeight="15" x14ac:dyDescent="0.25"/>
  <cols>
    <col min="1" max="3" width="9.7109375" customWidth="1"/>
    <col min="4" max="17" width="17.28515625" customWidth="1"/>
  </cols>
  <sheetData>
    <row r="1" spans="1:9" ht="19.5" customHeight="1" thickBot="1" x14ac:dyDescent="0.3">
      <c r="A1" s="473"/>
      <c r="B1" s="473"/>
      <c r="C1" s="479" t="s">
        <v>88</v>
      </c>
      <c r="D1" s="479"/>
      <c r="E1" s="479"/>
      <c r="F1" s="479"/>
      <c r="G1" s="21" t="s">
        <v>85</v>
      </c>
      <c r="H1" s="473" t="s">
        <v>89</v>
      </c>
      <c r="I1" s="473"/>
    </row>
    <row r="2" spans="1:9" ht="19.5" customHeight="1" thickBot="1" x14ac:dyDescent="0.3">
      <c r="A2" s="473"/>
      <c r="B2" s="473"/>
      <c r="C2" s="479"/>
      <c r="D2" s="479"/>
      <c r="E2" s="479"/>
      <c r="F2" s="479"/>
      <c r="G2" s="21" t="s">
        <v>86</v>
      </c>
      <c r="H2" s="473">
        <v>0</v>
      </c>
      <c r="I2" s="473"/>
    </row>
    <row r="3" spans="1:9" ht="19.5" customHeight="1" thickBot="1" x14ac:dyDescent="0.3">
      <c r="A3" s="473"/>
      <c r="B3" s="473"/>
      <c r="C3" s="479"/>
      <c r="D3" s="479"/>
      <c r="E3" s="479"/>
      <c r="F3" s="479"/>
      <c r="G3" s="21" t="s">
        <v>87</v>
      </c>
      <c r="H3" s="478">
        <v>43252</v>
      </c>
      <c r="I3" s="478"/>
    </row>
    <row r="4" spans="1:9" ht="15.75" thickBot="1" x14ac:dyDescent="0.3"/>
    <row r="5" spans="1:9" ht="16.5" thickBot="1" x14ac:dyDescent="0.3">
      <c r="A5" s="475" t="s">
        <v>67</v>
      </c>
      <c r="B5" s="476"/>
      <c r="C5" s="476"/>
      <c r="D5" s="476"/>
      <c r="E5" s="476"/>
      <c r="F5" s="476"/>
      <c r="G5" s="476"/>
      <c r="H5" s="476"/>
      <c r="I5" s="477"/>
    </row>
    <row r="6" spans="1:9" x14ac:dyDescent="0.25">
      <c r="A6" s="468" t="s">
        <v>77</v>
      </c>
      <c r="B6" s="468"/>
      <c r="C6" s="468"/>
      <c r="D6" s="468"/>
      <c r="E6" s="468"/>
      <c r="F6" s="468"/>
      <c r="G6" s="468"/>
      <c r="H6" s="468"/>
      <c r="I6" s="468"/>
    </row>
    <row r="7" spans="1:9" x14ac:dyDescent="0.25">
      <c r="A7" s="469"/>
      <c r="B7" s="469"/>
      <c r="C7" s="469"/>
      <c r="D7" s="469"/>
      <c r="E7" s="469"/>
      <c r="F7" s="469"/>
      <c r="G7" s="469"/>
      <c r="H7" s="469"/>
      <c r="I7" s="469"/>
    </row>
    <row r="8" spans="1:9" x14ac:dyDescent="0.25">
      <c r="A8" s="469"/>
      <c r="B8" s="469"/>
      <c r="C8" s="469"/>
      <c r="D8" s="469"/>
      <c r="E8" s="469"/>
      <c r="F8" s="469"/>
      <c r="G8" s="469"/>
      <c r="H8" s="469"/>
      <c r="I8" s="469"/>
    </row>
    <row r="9" spans="1:9" x14ac:dyDescent="0.25">
      <c r="A9" s="469"/>
      <c r="B9" s="469"/>
      <c r="C9" s="469"/>
      <c r="D9" s="469"/>
      <c r="E9" s="469"/>
      <c r="F9" s="469"/>
      <c r="G9" s="469"/>
      <c r="H9" s="469"/>
      <c r="I9" s="469"/>
    </row>
    <row r="10" spans="1:9" x14ac:dyDescent="0.25">
      <c r="A10" s="469"/>
      <c r="B10" s="469"/>
      <c r="C10" s="469"/>
      <c r="D10" s="469"/>
      <c r="E10" s="469"/>
      <c r="F10" s="469"/>
      <c r="G10" s="469"/>
      <c r="H10" s="469"/>
      <c r="I10" s="469"/>
    </row>
    <row r="12" spans="1:9" x14ac:dyDescent="0.25">
      <c r="A12" s="470" t="s">
        <v>27</v>
      </c>
      <c r="B12" s="470"/>
      <c r="C12" s="470"/>
      <c r="D12" s="474" t="s">
        <v>103</v>
      </c>
      <c r="E12" s="474"/>
      <c r="F12" s="474"/>
      <c r="G12" s="474"/>
      <c r="H12" s="474"/>
      <c r="I12" s="474"/>
    </row>
    <row r="13" spans="1:9" x14ac:dyDescent="0.25">
      <c r="A13" s="470" t="s">
        <v>78</v>
      </c>
      <c r="B13" s="470"/>
      <c r="C13" s="470"/>
      <c r="D13" s="474" t="s">
        <v>106</v>
      </c>
      <c r="E13" s="474"/>
      <c r="F13" s="474"/>
      <c r="G13" s="474"/>
      <c r="H13" s="474"/>
      <c r="I13" s="474"/>
    </row>
    <row r="14" spans="1:9" x14ac:dyDescent="0.25">
      <c r="A14" s="470" t="s">
        <v>0</v>
      </c>
      <c r="B14" s="470"/>
      <c r="C14" s="470"/>
      <c r="D14" s="474" t="s">
        <v>105</v>
      </c>
      <c r="E14" s="474"/>
      <c r="F14" s="474"/>
      <c r="G14" s="474"/>
      <c r="H14" s="474"/>
      <c r="I14" s="474"/>
    </row>
    <row r="15" spans="1:9" x14ac:dyDescent="0.25">
      <c r="A15" s="470" t="s">
        <v>37</v>
      </c>
      <c r="B15" s="470"/>
      <c r="C15" s="470"/>
      <c r="D15" s="474" t="s">
        <v>104</v>
      </c>
      <c r="E15" s="474"/>
      <c r="F15" s="474"/>
      <c r="G15" s="474"/>
      <c r="H15" s="474"/>
      <c r="I15" s="474"/>
    </row>
    <row r="16" spans="1:9" x14ac:dyDescent="0.25">
      <c r="A16" s="470" t="s">
        <v>29</v>
      </c>
      <c r="B16" s="470"/>
      <c r="C16" s="470"/>
      <c r="D16" s="474" t="s">
        <v>107</v>
      </c>
      <c r="E16" s="474"/>
      <c r="F16" s="474"/>
      <c r="G16" s="474"/>
      <c r="H16" s="474"/>
      <c r="I16" s="474"/>
    </row>
    <row r="18" spans="1:17" x14ac:dyDescent="0.25">
      <c r="A18" s="1" t="s">
        <v>79</v>
      </c>
    </row>
    <row r="19" spans="1:17" x14ac:dyDescent="0.25">
      <c r="C19" s="471" t="s">
        <v>96</v>
      </c>
      <c r="D19" s="471"/>
    </row>
    <row r="20" spans="1:17" x14ac:dyDescent="0.25">
      <c r="B20" s="32" t="s">
        <v>90</v>
      </c>
      <c r="C20" s="32" t="s">
        <v>55</v>
      </c>
      <c r="D20" s="32">
        <v>2015</v>
      </c>
      <c r="E20" s="32">
        <f>C22+1</f>
        <v>2017</v>
      </c>
      <c r="F20" s="32">
        <f>E20+1</f>
        <v>2018</v>
      </c>
      <c r="G20" s="32">
        <f t="shared" ref="G20:Q20" si="0">F20+1</f>
        <v>2019</v>
      </c>
      <c r="H20" s="32">
        <f t="shared" si="0"/>
        <v>2020</v>
      </c>
      <c r="I20" s="32">
        <f t="shared" si="0"/>
        <v>2021</v>
      </c>
      <c r="J20" s="32">
        <f t="shared" si="0"/>
        <v>2022</v>
      </c>
      <c r="K20" s="32">
        <f t="shared" si="0"/>
        <v>2023</v>
      </c>
      <c r="L20" s="32">
        <f t="shared" si="0"/>
        <v>2024</v>
      </c>
      <c r="M20" s="32">
        <f t="shared" si="0"/>
        <v>2025</v>
      </c>
      <c r="N20" s="32">
        <f t="shared" si="0"/>
        <v>2026</v>
      </c>
      <c r="O20" s="32">
        <f t="shared" si="0"/>
        <v>2027</v>
      </c>
      <c r="P20" s="32">
        <f t="shared" si="0"/>
        <v>2028</v>
      </c>
      <c r="Q20" s="32">
        <f t="shared" si="0"/>
        <v>2029</v>
      </c>
    </row>
    <row r="21" spans="1:17" x14ac:dyDescent="0.25">
      <c r="B21" s="32" t="s">
        <v>97</v>
      </c>
      <c r="C21" s="32"/>
      <c r="D21" s="34">
        <f>D27</f>
        <v>2721.8145777999998</v>
      </c>
      <c r="E21" s="34">
        <f>D21</f>
        <v>2721.8145777999998</v>
      </c>
      <c r="F21" s="34">
        <f t="shared" ref="F21:Q21" si="1">E21</f>
        <v>2721.8145777999998</v>
      </c>
      <c r="G21" s="34">
        <f t="shared" si="1"/>
        <v>2721.8145777999998</v>
      </c>
      <c r="H21" s="34">
        <f t="shared" si="1"/>
        <v>2721.8145777999998</v>
      </c>
      <c r="I21" s="34">
        <f t="shared" si="1"/>
        <v>2721.8145777999998</v>
      </c>
      <c r="J21" s="34">
        <f t="shared" si="1"/>
        <v>2721.8145777999998</v>
      </c>
      <c r="K21" s="34">
        <f t="shared" si="1"/>
        <v>2721.8145777999998</v>
      </c>
      <c r="L21" s="34">
        <f t="shared" si="1"/>
        <v>2721.8145777999998</v>
      </c>
      <c r="M21" s="34">
        <f t="shared" si="1"/>
        <v>2721.8145777999998</v>
      </c>
      <c r="N21" s="34">
        <f t="shared" si="1"/>
        <v>2721.8145777999998</v>
      </c>
      <c r="O21" s="34">
        <f t="shared" si="1"/>
        <v>2721.8145777999998</v>
      </c>
      <c r="P21" s="34">
        <f t="shared" si="1"/>
        <v>2721.8145777999998</v>
      </c>
      <c r="Q21" s="34">
        <f t="shared" si="1"/>
        <v>2721.8145777999998</v>
      </c>
    </row>
    <row r="22" spans="1:17" x14ac:dyDescent="0.25">
      <c r="A22" s="23" t="s">
        <v>80</v>
      </c>
      <c r="B22" s="23" t="str">
        <f>Energy!D9</f>
        <v>Actual</v>
      </c>
      <c r="C22">
        <v>2016</v>
      </c>
      <c r="D22" s="31">
        <f>Energy!D28</f>
        <v>1839.05836</v>
      </c>
      <c r="E22" s="31">
        <f>Energy!E28</f>
        <v>2079.2661604999998</v>
      </c>
      <c r="F22" s="31">
        <f>Energy!F28</f>
        <v>1999.437596</v>
      </c>
      <c r="G22" s="31">
        <f>Energy!G28</f>
        <v>0</v>
      </c>
      <c r="H22" s="31"/>
      <c r="I22" s="31"/>
      <c r="J22" s="31"/>
      <c r="K22" s="31"/>
      <c r="L22" s="31"/>
      <c r="M22" s="31"/>
      <c r="N22" s="31"/>
      <c r="O22" s="31"/>
      <c r="P22" s="31"/>
      <c r="Q22" s="31"/>
    </row>
    <row r="23" spans="1:17" x14ac:dyDescent="0.25">
      <c r="A23" s="23" t="s">
        <v>2</v>
      </c>
      <c r="B23" s="23" t="str">
        <f>Water!D9</f>
        <v>Actual</v>
      </c>
      <c r="C23">
        <v>2016</v>
      </c>
      <c r="D23" s="31">
        <f>Water!D28</f>
        <v>69.823836</v>
      </c>
      <c r="E23" s="31">
        <f>Water!E28</f>
        <v>133.85541599999999</v>
      </c>
      <c r="F23" s="31">
        <f>Water!F28</f>
        <v>192.98260099999999</v>
      </c>
      <c r="G23" s="31">
        <f>Water!G28</f>
        <v>0</v>
      </c>
      <c r="H23" s="31"/>
      <c r="I23" s="31"/>
      <c r="J23" s="31"/>
      <c r="K23" s="31"/>
      <c r="L23" s="31"/>
      <c r="M23" s="31"/>
      <c r="N23" s="31"/>
      <c r="O23" s="31"/>
      <c r="P23" s="31"/>
      <c r="Q23" s="31"/>
    </row>
    <row r="24" spans="1:17" x14ac:dyDescent="0.25">
      <c r="A24" s="23" t="s">
        <v>91</v>
      </c>
      <c r="B24" s="23" t="str">
        <f>'Waste 1 - Actual'!D9</f>
        <v>Actual</v>
      </c>
      <c r="C24">
        <v>2016</v>
      </c>
      <c r="D24" s="31">
        <f>'Waste 1 - Actual'!D28</f>
        <v>812.93238180000003</v>
      </c>
      <c r="E24" s="31">
        <f>'Waste 1 - Actual'!E28</f>
        <v>1109.7172195999999</v>
      </c>
      <c r="F24" s="31">
        <f>'Waste 1 - Actual'!F28</f>
        <v>1130.8323464</v>
      </c>
      <c r="G24" s="31">
        <f>'Waste 1 - Actual'!G28</f>
        <v>0</v>
      </c>
      <c r="H24" s="31"/>
      <c r="I24" s="31"/>
      <c r="J24" s="31"/>
      <c r="K24" s="31"/>
      <c r="L24" s="31"/>
      <c r="M24" s="31"/>
      <c r="N24" s="31"/>
      <c r="O24" s="31"/>
      <c r="P24" s="31"/>
      <c r="Q24" s="31"/>
    </row>
    <row r="25" spans="1:17" x14ac:dyDescent="0.25">
      <c r="A25" s="23" t="s">
        <v>92</v>
      </c>
      <c r="B25" s="23" t="str">
        <f>'Waste 2 - Estimate'!C9</f>
        <v>Estimate</v>
      </c>
      <c r="D25" s="31"/>
      <c r="E25" s="31"/>
      <c r="F25" s="31"/>
      <c r="G25" s="31"/>
      <c r="H25" s="31"/>
      <c r="I25" s="31"/>
      <c r="J25" s="31"/>
      <c r="K25" s="31"/>
      <c r="L25" s="31"/>
      <c r="M25" s="31"/>
      <c r="N25" s="31"/>
      <c r="O25" s="31"/>
      <c r="P25" s="31"/>
      <c r="Q25" s="31"/>
    </row>
    <row r="26" spans="1:17" x14ac:dyDescent="0.25">
      <c r="A26" s="23" t="s">
        <v>94</v>
      </c>
      <c r="B26" s="23" t="e">
        <f>#REF!</f>
        <v>#REF!</v>
      </c>
      <c r="D26" s="31"/>
      <c r="E26" s="31"/>
      <c r="F26" s="31"/>
      <c r="G26" s="31"/>
      <c r="H26" s="31"/>
      <c r="I26" s="31"/>
      <c r="J26" s="31"/>
      <c r="K26" s="31"/>
      <c r="L26" s="31"/>
      <c r="M26" s="31"/>
      <c r="N26" s="31"/>
      <c r="O26" s="31"/>
      <c r="P26" s="31"/>
      <c r="Q26" s="31"/>
    </row>
    <row r="27" spans="1:17" x14ac:dyDescent="0.25">
      <c r="B27" s="472" t="s">
        <v>95</v>
      </c>
      <c r="C27" s="472"/>
      <c r="D27" s="33">
        <f t="shared" ref="D27:Q27" si="2">SUM(D22:D26)</f>
        <v>2721.8145777999998</v>
      </c>
      <c r="E27" s="33">
        <f t="shared" si="2"/>
        <v>3322.8387960999999</v>
      </c>
      <c r="F27" s="33">
        <f t="shared" si="2"/>
        <v>3323.2525433999999</v>
      </c>
      <c r="G27" s="33">
        <f t="shared" si="2"/>
        <v>0</v>
      </c>
      <c r="H27" s="33">
        <f t="shared" si="2"/>
        <v>0</v>
      </c>
      <c r="I27" s="33">
        <f t="shared" si="2"/>
        <v>0</v>
      </c>
      <c r="J27" s="33">
        <f t="shared" si="2"/>
        <v>0</v>
      </c>
      <c r="K27" s="33">
        <f t="shared" si="2"/>
        <v>0</v>
      </c>
      <c r="L27" s="33">
        <f t="shared" si="2"/>
        <v>0</v>
      </c>
      <c r="M27" s="33">
        <f t="shared" si="2"/>
        <v>0</v>
      </c>
      <c r="N27" s="33">
        <f t="shared" si="2"/>
        <v>0</v>
      </c>
      <c r="O27" s="33">
        <f t="shared" si="2"/>
        <v>0</v>
      </c>
      <c r="P27" s="33">
        <f t="shared" si="2"/>
        <v>0</v>
      </c>
      <c r="Q27" s="33">
        <f t="shared" si="2"/>
        <v>0</v>
      </c>
    </row>
    <row r="28" spans="1:17" x14ac:dyDescent="0.25">
      <c r="E28" s="41">
        <f>($D$27-E27)/$D$27</f>
        <v>-0.22081747346132538</v>
      </c>
      <c r="F28" s="41">
        <f>($D$27-F27)/$D$27</f>
        <v>-0.22096948502867267</v>
      </c>
      <c r="G28" s="41"/>
    </row>
    <row r="29" spans="1:17" x14ac:dyDescent="0.25">
      <c r="A29" s="23" t="s">
        <v>93</v>
      </c>
      <c r="B29" s="23" t="str">
        <f>'Greenery '!C9</f>
        <v>Actual</v>
      </c>
      <c r="C29">
        <v>2017</v>
      </c>
      <c r="D29" s="31"/>
      <c r="E29" s="31"/>
      <c r="F29" s="31"/>
      <c r="G29" s="41"/>
      <c r="H29" s="31"/>
      <c r="I29" s="31"/>
      <c r="J29" s="31"/>
      <c r="K29" s="31"/>
      <c r="L29" s="31"/>
      <c r="M29" s="31"/>
      <c r="N29" s="31"/>
      <c r="O29" s="31"/>
      <c r="P29" s="31"/>
      <c r="Q29" s="31"/>
    </row>
  </sheetData>
  <mergeCells count="19">
    <mergeCell ref="D13:I13"/>
    <mergeCell ref="C1:F3"/>
    <mergeCell ref="A14:C14"/>
    <mergeCell ref="A6:I10"/>
    <mergeCell ref="A13:C13"/>
    <mergeCell ref="C19:D19"/>
    <mergeCell ref="B27:C27"/>
    <mergeCell ref="A1:B3"/>
    <mergeCell ref="A15:C15"/>
    <mergeCell ref="A16:C16"/>
    <mergeCell ref="D14:I14"/>
    <mergeCell ref="D15:I15"/>
    <mergeCell ref="D16:I16"/>
    <mergeCell ref="A5:I5"/>
    <mergeCell ref="A12:C12"/>
    <mergeCell ref="H1:I1"/>
    <mergeCell ref="H2:I2"/>
    <mergeCell ref="H3:I3"/>
    <mergeCell ref="D12:I12"/>
  </mergeCells>
  <phoneticPr fontId="5" type="noConversion"/>
  <pageMargins left="0.25" right="0.25" top="0.75" bottom="0.75" header="0.3" footer="0.3"/>
  <pageSetup paperSize="8"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65DF3-19BC-4FD2-B391-26B18D617A8E}">
  <dimension ref="A1:M229"/>
  <sheetViews>
    <sheetView view="pageLayout" topLeftCell="A98" zoomScale="85" zoomScaleNormal="100" zoomScalePageLayoutView="85" workbookViewId="0">
      <selection activeCell="I109" sqref="I109"/>
    </sheetView>
  </sheetViews>
  <sheetFormatPr defaultColWidth="9.140625" defaultRowHeight="15" x14ac:dyDescent="0.25"/>
  <cols>
    <col min="2" max="8" width="9.140625" customWidth="1"/>
    <col min="9" max="9" width="12.42578125" customWidth="1"/>
  </cols>
  <sheetData>
    <row r="1" spans="1:9" ht="16.5" thickBot="1" x14ac:dyDescent="0.3">
      <c r="A1" s="475" t="s">
        <v>136</v>
      </c>
      <c r="B1" s="476"/>
      <c r="C1" s="476"/>
      <c r="D1" s="476"/>
      <c r="E1" s="476"/>
      <c r="F1" s="476"/>
      <c r="G1" s="476"/>
      <c r="H1" s="476"/>
      <c r="I1" s="477"/>
    </row>
    <row r="3" spans="1:9" x14ac:dyDescent="0.25">
      <c r="A3" s="470" t="s">
        <v>27</v>
      </c>
      <c r="B3" s="470"/>
      <c r="C3" s="470"/>
      <c r="D3" s="474" t="str">
        <f>'Summary (Main)'!D11:H11</f>
        <v>LCC-Z-B090-XX-XXXX</v>
      </c>
      <c r="E3" s="474"/>
      <c r="F3" s="474"/>
      <c r="G3" s="474"/>
      <c r="H3" s="474"/>
      <c r="I3" s="474"/>
    </row>
    <row r="4" spans="1:9" x14ac:dyDescent="0.25">
      <c r="A4" s="470" t="s">
        <v>78</v>
      </c>
      <c r="B4" s="470"/>
      <c r="C4" s="470"/>
      <c r="D4" s="474" t="str">
        <f>'Summary (Main)'!D12:H12</f>
        <v>MAJLIS PERBANDARAN XXY</v>
      </c>
      <c r="E4" s="474"/>
      <c r="F4" s="474"/>
      <c r="G4" s="474"/>
      <c r="H4" s="474"/>
      <c r="I4" s="474"/>
    </row>
    <row r="5" spans="1:9" x14ac:dyDescent="0.25">
      <c r="A5" s="470" t="s">
        <v>0</v>
      </c>
      <c r="B5" s="470"/>
      <c r="C5" s="470"/>
      <c r="D5" s="474" t="str">
        <f>'Summary (Main)'!D13:H13</f>
        <v>MAJLIS PERBANDARAN XXY</v>
      </c>
      <c r="E5" s="474"/>
      <c r="F5" s="474"/>
      <c r="G5" s="474"/>
      <c r="H5" s="474"/>
      <c r="I5" s="474"/>
    </row>
    <row r="6" spans="1:9" x14ac:dyDescent="0.25">
      <c r="A6" s="470" t="s">
        <v>129</v>
      </c>
      <c r="B6" s="470"/>
      <c r="C6" s="470"/>
      <c r="D6" s="474">
        <f>'Summary (Main)'!D14:H14</f>
        <v>77432</v>
      </c>
      <c r="E6" s="474"/>
      <c r="F6" s="474"/>
      <c r="G6" s="474"/>
      <c r="H6" s="474"/>
      <c r="I6" s="474"/>
    </row>
    <row r="7" spans="1:9" x14ac:dyDescent="0.25">
      <c r="A7" s="470" t="s">
        <v>137</v>
      </c>
      <c r="B7" s="470"/>
      <c r="C7" s="470"/>
      <c r="D7" s="474">
        <f>'Summary (Main)'!D15:H15</f>
        <v>451.36</v>
      </c>
      <c r="E7" s="474"/>
      <c r="F7" s="474"/>
      <c r="G7" s="474"/>
      <c r="H7" s="474"/>
      <c r="I7" s="474"/>
    </row>
    <row r="8" spans="1:9" x14ac:dyDescent="0.25">
      <c r="A8" s="5"/>
      <c r="B8" s="5"/>
      <c r="C8" s="5"/>
    </row>
    <row r="9" spans="1:9" x14ac:dyDescent="0.25">
      <c r="A9" s="498" t="s">
        <v>7</v>
      </c>
      <c r="B9" s="498"/>
      <c r="C9" s="81" t="s">
        <v>240</v>
      </c>
      <c r="D9" s="3"/>
      <c r="E9" s="498" t="s">
        <v>12</v>
      </c>
      <c r="F9" s="498"/>
      <c r="G9" s="524" t="s">
        <v>60</v>
      </c>
      <c r="H9" s="524"/>
      <c r="I9" s="524"/>
    </row>
    <row r="10" spans="1:9" x14ac:dyDescent="0.25">
      <c r="A10" s="498" t="s">
        <v>6</v>
      </c>
      <c r="B10" s="498"/>
      <c r="C10" s="523" t="s">
        <v>139</v>
      </c>
      <c r="D10" s="523"/>
      <c r="E10" s="523"/>
      <c r="F10" s="523"/>
      <c r="G10" s="523"/>
      <c r="H10" s="523"/>
      <c r="I10" s="523"/>
    </row>
    <row r="11" spans="1:9" x14ac:dyDescent="0.25">
      <c r="A11" s="1" t="s">
        <v>9</v>
      </c>
      <c r="C11" s="523" t="s">
        <v>68</v>
      </c>
      <c r="D11" s="523"/>
      <c r="E11" s="13">
        <v>1.92</v>
      </c>
      <c r="F11" s="522" t="s">
        <v>71</v>
      </c>
      <c r="G11" s="522"/>
      <c r="H11" s="524" t="s">
        <v>72</v>
      </c>
      <c r="I11" s="524"/>
    </row>
    <row r="12" spans="1:9" x14ac:dyDescent="0.25">
      <c r="C12" s="523" t="s">
        <v>69</v>
      </c>
      <c r="D12" s="523"/>
      <c r="E12" s="13">
        <v>2.74</v>
      </c>
      <c r="F12" s="522" t="s">
        <v>71</v>
      </c>
      <c r="G12" s="522"/>
      <c r="H12" s="524" t="s">
        <v>72</v>
      </c>
      <c r="I12" s="524"/>
    </row>
    <row r="13" spans="1:9" x14ac:dyDescent="0.25">
      <c r="C13" s="523" t="s">
        <v>70</v>
      </c>
      <c r="D13" s="523"/>
      <c r="E13" s="13">
        <v>59.19</v>
      </c>
      <c r="F13" s="522" t="s">
        <v>81</v>
      </c>
      <c r="G13" s="522"/>
      <c r="H13" s="524" t="s">
        <v>72</v>
      </c>
      <c r="I13" s="524"/>
    </row>
    <row r="14" spans="1:9" x14ac:dyDescent="0.25">
      <c r="C14" s="523" t="s">
        <v>61</v>
      </c>
      <c r="D14" s="523"/>
      <c r="E14" s="13">
        <v>0.18368000000000001</v>
      </c>
      <c r="F14" s="522" t="s">
        <v>62</v>
      </c>
      <c r="G14" s="522"/>
      <c r="H14" s="524" t="s">
        <v>63</v>
      </c>
      <c r="I14" s="524"/>
    </row>
    <row r="15" spans="1:9" x14ac:dyDescent="0.25">
      <c r="C15" s="523" t="s">
        <v>64</v>
      </c>
      <c r="D15" s="523"/>
      <c r="E15" s="13">
        <v>0.11529</v>
      </c>
      <c r="F15" s="522" t="s">
        <v>62</v>
      </c>
      <c r="G15" s="522"/>
      <c r="H15" s="524" t="s">
        <v>63</v>
      </c>
      <c r="I15" s="524"/>
    </row>
    <row r="16" spans="1:9" x14ac:dyDescent="0.25">
      <c r="C16" s="523" t="s">
        <v>65</v>
      </c>
      <c r="D16" s="523"/>
      <c r="E16" s="13">
        <v>0.79100000000000004</v>
      </c>
      <c r="F16" s="522" t="s">
        <v>62</v>
      </c>
      <c r="G16" s="522"/>
      <c r="H16" s="524" t="s">
        <v>66</v>
      </c>
      <c r="I16" s="524"/>
    </row>
    <row r="17" spans="1:9" x14ac:dyDescent="0.25">
      <c r="C17" s="6" t="s">
        <v>183</v>
      </c>
      <c r="D17" s="6"/>
      <c r="E17" s="13">
        <v>98.8</v>
      </c>
      <c r="F17" s="3" t="s">
        <v>182</v>
      </c>
      <c r="G17" s="3"/>
      <c r="H17" s="182"/>
      <c r="I17" s="182"/>
    </row>
    <row r="18" spans="1:9" x14ac:dyDescent="0.25">
      <c r="C18" s="6" t="s">
        <v>184</v>
      </c>
      <c r="D18" s="6"/>
      <c r="E18" s="13">
        <v>125</v>
      </c>
      <c r="F18" s="3" t="s">
        <v>182</v>
      </c>
      <c r="G18" s="3"/>
      <c r="H18" s="182"/>
      <c r="I18" s="182"/>
    </row>
    <row r="19" spans="1:9" x14ac:dyDescent="0.25">
      <c r="C19" s="6" t="s">
        <v>185</v>
      </c>
      <c r="D19" s="6"/>
      <c r="E19" s="13">
        <v>193</v>
      </c>
      <c r="F19" s="3" t="s">
        <v>182</v>
      </c>
      <c r="G19" s="3"/>
      <c r="H19" s="182"/>
      <c r="I19" s="182"/>
    </row>
    <row r="20" spans="1:9" x14ac:dyDescent="0.25">
      <c r="C20" s="6" t="s">
        <v>186</v>
      </c>
      <c r="D20" s="6"/>
      <c r="E20" s="13">
        <v>221</v>
      </c>
      <c r="F20" s="3" t="s">
        <v>182</v>
      </c>
      <c r="G20" s="3"/>
      <c r="H20" s="182"/>
      <c r="I20" s="182"/>
    </row>
    <row r="21" spans="1:9" x14ac:dyDescent="0.25">
      <c r="C21" s="113" t="s">
        <v>208</v>
      </c>
      <c r="D21" s="6"/>
      <c r="E21" s="13">
        <v>379</v>
      </c>
      <c r="F21" s="3" t="s">
        <v>182</v>
      </c>
      <c r="G21" s="3"/>
      <c r="H21" s="182"/>
      <c r="I21" s="182"/>
    </row>
    <row r="22" spans="1:9" x14ac:dyDescent="0.25">
      <c r="C22" s="113" t="s">
        <v>209</v>
      </c>
      <c r="D22" s="6"/>
      <c r="E22" s="13">
        <v>148</v>
      </c>
      <c r="F22" s="3" t="s">
        <v>182</v>
      </c>
      <c r="G22" s="3"/>
      <c r="H22" s="182"/>
      <c r="I22" s="182"/>
    </row>
    <row r="23" spans="1:9" x14ac:dyDescent="0.25">
      <c r="C23" s="6" t="s">
        <v>187</v>
      </c>
      <c r="D23" s="6"/>
      <c r="E23" s="13">
        <v>329</v>
      </c>
      <c r="F23" s="3" t="s">
        <v>182</v>
      </c>
      <c r="G23" s="3"/>
      <c r="H23" s="182"/>
      <c r="I23" s="182"/>
    </row>
    <row r="24" spans="1:9" x14ac:dyDescent="0.25">
      <c r="C24" s="113" t="s">
        <v>211</v>
      </c>
      <c r="D24" s="6"/>
      <c r="E24" s="13">
        <v>286</v>
      </c>
      <c r="F24" s="3" t="s">
        <v>182</v>
      </c>
      <c r="G24" s="3"/>
      <c r="H24" s="182"/>
      <c r="I24" s="182"/>
    </row>
    <row r="25" spans="1:9" x14ac:dyDescent="0.25">
      <c r="C25" s="6" t="s">
        <v>188</v>
      </c>
      <c r="D25" s="6"/>
      <c r="E25" s="13">
        <v>781</v>
      </c>
      <c r="F25" s="3" t="s">
        <v>182</v>
      </c>
      <c r="G25" s="3"/>
      <c r="H25" s="182"/>
      <c r="I25" s="182"/>
    </row>
    <row r="26" spans="1:9" x14ac:dyDescent="0.25">
      <c r="C26" s="113" t="s">
        <v>205</v>
      </c>
      <c r="D26" s="6"/>
      <c r="E26" s="13">
        <v>329</v>
      </c>
      <c r="F26" s="3" t="s">
        <v>182</v>
      </c>
      <c r="G26" s="3"/>
      <c r="H26" s="182"/>
      <c r="I26" s="182"/>
    </row>
    <row r="27" spans="1:9" x14ac:dyDescent="0.25">
      <c r="C27" s="6" t="s">
        <v>189</v>
      </c>
      <c r="D27" s="6"/>
      <c r="E27" s="13">
        <v>286</v>
      </c>
      <c r="F27" s="3" t="s">
        <v>182</v>
      </c>
      <c r="G27" s="3"/>
      <c r="H27" s="182"/>
      <c r="I27" s="182"/>
    </row>
    <row r="28" spans="1:9" x14ac:dyDescent="0.25">
      <c r="C28" s="6" t="s">
        <v>190</v>
      </c>
      <c r="D28" s="6"/>
      <c r="E28" s="13">
        <v>781</v>
      </c>
      <c r="F28" s="3" t="s">
        <v>182</v>
      </c>
      <c r="G28" s="3"/>
      <c r="H28" s="182"/>
      <c r="I28" s="182"/>
    </row>
    <row r="29" spans="1:9" ht="14.25" hidden="1" customHeight="1" x14ac:dyDescent="0.25">
      <c r="A29" s="1" t="s">
        <v>200</v>
      </c>
      <c r="C29" s="6" t="s">
        <v>203</v>
      </c>
      <c r="E29">
        <f>E30/100</f>
        <v>0.05</v>
      </c>
      <c r="F29" s="3" t="s">
        <v>204</v>
      </c>
      <c r="G29" s="3"/>
      <c r="H29" s="182"/>
      <c r="I29" s="182"/>
    </row>
    <row r="30" spans="1:9" hidden="1" x14ac:dyDescent="0.25">
      <c r="C30" s="6" t="s">
        <v>202</v>
      </c>
      <c r="D30" s="6"/>
      <c r="E30" s="111">
        <v>5</v>
      </c>
      <c r="F30" s="3" t="s">
        <v>201</v>
      </c>
      <c r="G30" s="3"/>
      <c r="H30" s="182"/>
      <c r="I30" s="182"/>
    </row>
    <row r="31" spans="1:9" x14ac:dyDescent="0.25">
      <c r="A31" s="177"/>
      <c r="C31" s="6"/>
      <c r="D31" s="6"/>
      <c r="E31" s="13"/>
      <c r="F31" s="3"/>
      <c r="G31" s="3"/>
      <c r="H31" s="182"/>
      <c r="I31" s="182"/>
    </row>
    <row r="32" spans="1:9" s="172" customFormat="1" hidden="1" x14ac:dyDescent="0.25">
      <c r="A32" s="43" t="s">
        <v>127</v>
      </c>
      <c r="B32" s="43" t="s">
        <v>215</v>
      </c>
      <c r="C32" s="173"/>
      <c r="D32" s="173"/>
      <c r="E32" s="174"/>
      <c r="F32" s="175"/>
      <c r="G32" s="175"/>
      <c r="H32" s="176"/>
      <c r="I32" s="176"/>
    </row>
    <row r="33" spans="2:13" ht="33.75" hidden="1" x14ac:dyDescent="0.25">
      <c r="B33" s="158">
        <v>2</v>
      </c>
      <c r="C33" s="171" t="s">
        <v>216</v>
      </c>
      <c r="D33" s="155" t="s">
        <v>166</v>
      </c>
      <c r="E33" s="155" t="s">
        <v>69</v>
      </c>
      <c r="F33" s="155" t="s">
        <v>70</v>
      </c>
      <c r="G33" s="159" t="s">
        <v>220</v>
      </c>
      <c r="H33" s="182"/>
      <c r="I33" s="182"/>
    </row>
    <row r="34" spans="2:13" hidden="1" x14ac:dyDescent="0.25">
      <c r="C34" s="156" t="s">
        <v>147</v>
      </c>
      <c r="D34" s="162">
        <v>100</v>
      </c>
      <c r="E34" s="157"/>
      <c r="F34" s="157"/>
      <c r="G34" s="169">
        <f>SUM(D34)</f>
        <v>100</v>
      </c>
      <c r="H34" s="182"/>
      <c r="I34" s="182"/>
    </row>
    <row r="35" spans="2:13" hidden="1" x14ac:dyDescent="0.25">
      <c r="C35" s="156" t="s">
        <v>217</v>
      </c>
      <c r="D35" s="162">
        <v>95</v>
      </c>
      <c r="E35" s="162">
        <v>0</v>
      </c>
      <c r="F35" s="162">
        <v>5</v>
      </c>
      <c r="G35" s="169">
        <f>SUM(D35:F35)</f>
        <v>100</v>
      </c>
      <c r="H35" s="182"/>
      <c r="I35" s="182"/>
    </row>
    <row r="36" spans="2:13" hidden="1" x14ac:dyDescent="0.25">
      <c r="C36" s="156" t="s">
        <v>149</v>
      </c>
      <c r="D36" s="162">
        <v>90</v>
      </c>
      <c r="E36" s="162">
        <v>10</v>
      </c>
      <c r="F36" s="157"/>
      <c r="G36" s="169">
        <f>SUM(D36:E36)</f>
        <v>100</v>
      </c>
      <c r="H36" s="182"/>
      <c r="I36" s="182"/>
    </row>
    <row r="37" spans="2:13" hidden="1" x14ac:dyDescent="0.25">
      <c r="C37" s="156" t="s">
        <v>150</v>
      </c>
      <c r="D37" s="157"/>
      <c r="E37" s="162">
        <v>100</v>
      </c>
      <c r="F37" s="157"/>
      <c r="G37" s="169">
        <f>SUM(D37:F37)</f>
        <v>100</v>
      </c>
      <c r="H37" s="182"/>
      <c r="I37" s="182"/>
    </row>
    <row r="38" spans="2:13" hidden="1" x14ac:dyDescent="0.25">
      <c r="C38" s="156" t="s">
        <v>218</v>
      </c>
      <c r="D38" s="162">
        <v>10</v>
      </c>
      <c r="E38" s="162">
        <v>90</v>
      </c>
      <c r="F38" s="157"/>
      <c r="G38" s="169">
        <f>SUM(D38:F38)</f>
        <v>100</v>
      </c>
      <c r="H38" s="182"/>
      <c r="I38" s="182"/>
    </row>
    <row r="39" spans="2:13" hidden="1" x14ac:dyDescent="0.25">
      <c r="C39" s="156" t="s">
        <v>219</v>
      </c>
      <c r="D39" s="162">
        <v>0</v>
      </c>
      <c r="E39" s="162">
        <v>90</v>
      </c>
      <c r="F39" s="162">
        <v>10</v>
      </c>
      <c r="G39" s="169">
        <f>SUM(D39:F39)</f>
        <v>100</v>
      </c>
      <c r="H39" s="182"/>
      <c r="I39" s="182"/>
    </row>
    <row r="40" spans="2:13" hidden="1" x14ac:dyDescent="0.25">
      <c r="C40" s="6"/>
      <c r="D40" s="6"/>
      <c r="E40" s="13"/>
      <c r="F40" s="3"/>
      <c r="G40" s="3"/>
      <c r="H40" s="182"/>
      <c r="I40" s="182"/>
    </row>
    <row r="41" spans="2:13" hidden="1" x14ac:dyDescent="0.25">
      <c r="B41" s="164">
        <v>3</v>
      </c>
      <c r="C41" s="5" t="s">
        <v>229</v>
      </c>
      <c r="D41" s="6"/>
      <c r="E41" s="13"/>
      <c r="F41" s="3"/>
      <c r="G41" s="3"/>
      <c r="H41" s="182"/>
      <c r="I41" s="182"/>
    </row>
    <row r="42" spans="2:13" s="151" customFormat="1" ht="51" hidden="1" x14ac:dyDescent="0.2">
      <c r="C42" s="165" t="s">
        <v>221</v>
      </c>
      <c r="D42" s="163" t="s">
        <v>206</v>
      </c>
      <c r="E42" s="163" t="s">
        <v>222</v>
      </c>
      <c r="F42" s="163" t="s">
        <v>223</v>
      </c>
      <c r="G42" s="163" t="s">
        <v>224</v>
      </c>
      <c r="H42" s="163" t="s">
        <v>225</v>
      </c>
      <c r="I42" s="163" t="s">
        <v>226</v>
      </c>
      <c r="J42" s="163" t="s">
        <v>227</v>
      </c>
      <c r="K42" s="163" t="s">
        <v>167</v>
      </c>
      <c r="L42" s="163" t="s">
        <v>168</v>
      </c>
      <c r="M42" s="163" t="s">
        <v>228</v>
      </c>
    </row>
    <row r="43" spans="2:13" hidden="1" x14ac:dyDescent="0.25">
      <c r="C43" s="162" t="s">
        <v>147</v>
      </c>
      <c r="D43" s="157"/>
      <c r="E43" s="157"/>
      <c r="F43" s="157"/>
      <c r="G43" s="157"/>
      <c r="H43" s="157"/>
      <c r="I43" s="157"/>
      <c r="J43" s="162">
        <f xml:space="preserve"> [1]Fleet!J29/100 * [1]Calc1!D32</f>
        <v>0</v>
      </c>
      <c r="K43" s="162">
        <v>25</v>
      </c>
      <c r="L43" s="162">
        <v>75</v>
      </c>
      <c r="M43" s="170">
        <f>SUM(J43:L43)</f>
        <v>100</v>
      </c>
    </row>
    <row r="44" spans="2:13" hidden="1" x14ac:dyDescent="0.25">
      <c r="C44" s="162" t="s">
        <v>217</v>
      </c>
      <c r="D44" s="162">
        <f xml:space="preserve"> [1]Fleet!D30/100 * [1]Calc1!D33</f>
        <v>0</v>
      </c>
      <c r="E44" s="157"/>
      <c r="F44" s="162">
        <f xml:space="preserve"> [1]Fleet!F30/100 * [1]Calc1!D33</f>
        <v>0</v>
      </c>
      <c r="G44" s="162">
        <f xml:space="preserve"> [1]Fleet!G30/100 * [1]Calc1!D33</f>
        <v>0</v>
      </c>
      <c r="H44" s="162">
        <v>50</v>
      </c>
      <c r="I44" s="162">
        <v>50</v>
      </c>
      <c r="J44" s="157"/>
      <c r="K44" s="157"/>
      <c r="L44" s="157"/>
      <c r="M44" s="170">
        <f>SUM(D44,F44:I44)</f>
        <v>100</v>
      </c>
    </row>
    <row r="45" spans="2:13" hidden="1" x14ac:dyDescent="0.25">
      <c r="C45" s="162" t="s">
        <v>149</v>
      </c>
      <c r="D45" s="157"/>
      <c r="E45" s="162">
        <v>100</v>
      </c>
      <c r="F45" s="157"/>
      <c r="G45" s="157"/>
      <c r="H45" s="157"/>
      <c r="I45" s="157"/>
      <c r="J45" s="157"/>
      <c r="K45" s="157"/>
      <c r="L45" s="157"/>
      <c r="M45" s="170">
        <f>SUM(E45)</f>
        <v>100</v>
      </c>
    </row>
    <row r="46" spans="2:13" hidden="1" x14ac:dyDescent="0.25">
      <c r="C46" s="162" t="s">
        <v>150</v>
      </c>
      <c r="D46" s="157"/>
      <c r="E46" s="157"/>
      <c r="F46" s="157"/>
      <c r="G46" s="157"/>
      <c r="H46" s="157"/>
      <c r="I46" s="157"/>
      <c r="J46" s="157"/>
      <c r="K46" s="157"/>
      <c r="L46" s="157"/>
      <c r="M46" s="170">
        <v>0</v>
      </c>
    </row>
    <row r="47" spans="2:13" hidden="1" x14ac:dyDescent="0.25">
      <c r="C47" s="162" t="s">
        <v>218</v>
      </c>
      <c r="D47" s="157"/>
      <c r="E47" s="162">
        <v>100</v>
      </c>
      <c r="F47" s="157"/>
      <c r="G47" s="157"/>
      <c r="H47" s="157"/>
      <c r="I47" s="157"/>
      <c r="J47" s="157"/>
      <c r="K47" s="157"/>
      <c r="L47" s="157"/>
      <c r="M47" s="170">
        <f>SUM(E47)</f>
        <v>100</v>
      </c>
    </row>
    <row r="48" spans="2:13" hidden="1" x14ac:dyDescent="0.25">
      <c r="C48" s="162" t="s">
        <v>219</v>
      </c>
      <c r="D48" s="162">
        <f xml:space="preserve"> [1]Fleet!D34/100 * [1]Calc1!D37</f>
        <v>0</v>
      </c>
      <c r="E48" s="157"/>
      <c r="F48" s="157"/>
      <c r="G48" s="157"/>
      <c r="H48" s="157"/>
      <c r="I48" s="157"/>
      <c r="J48" s="157"/>
      <c r="K48" s="157"/>
      <c r="L48" s="157"/>
      <c r="M48" s="170">
        <f>SUM(D48)</f>
        <v>0</v>
      </c>
    </row>
    <row r="49" spans="3:10" hidden="1" x14ac:dyDescent="0.25">
      <c r="C49" s="5" t="s">
        <v>232</v>
      </c>
      <c r="D49" s="6"/>
      <c r="E49" s="13"/>
      <c r="F49" s="3"/>
      <c r="G49" s="3"/>
      <c r="H49" s="182"/>
      <c r="I49" s="182"/>
    </row>
    <row r="50" spans="3:10" ht="60" hidden="1" x14ac:dyDescent="0.25">
      <c r="C50" s="160" t="s">
        <v>230</v>
      </c>
      <c r="D50" s="161" t="s">
        <v>222</v>
      </c>
      <c r="E50" s="161" t="s">
        <v>231</v>
      </c>
      <c r="F50" s="3"/>
      <c r="G50" s="3"/>
      <c r="H50" s="182"/>
      <c r="I50" s="182"/>
    </row>
    <row r="51" spans="3:10" hidden="1" x14ac:dyDescent="0.25">
      <c r="C51" s="162" t="s">
        <v>147</v>
      </c>
      <c r="D51" s="157"/>
      <c r="E51" s="169">
        <v>0</v>
      </c>
      <c r="F51" s="3"/>
      <c r="G51" s="3"/>
      <c r="H51" s="182"/>
      <c r="I51" s="182"/>
    </row>
    <row r="52" spans="3:10" hidden="1" x14ac:dyDescent="0.25">
      <c r="C52" s="162" t="s">
        <v>217</v>
      </c>
      <c r="D52" s="162">
        <f xml:space="preserve"> [1]Fleet!D40/100 * [1]Calc1!E33</f>
        <v>0</v>
      </c>
      <c r="E52" s="169">
        <f>SUM(D52)</f>
        <v>0</v>
      </c>
      <c r="F52" s="3"/>
      <c r="G52" s="3"/>
      <c r="H52" s="182"/>
      <c r="I52" s="182"/>
    </row>
    <row r="53" spans="3:10" hidden="1" x14ac:dyDescent="0.25">
      <c r="C53" s="162" t="s">
        <v>149</v>
      </c>
      <c r="D53" s="162">
        <v>100</v>
      </c>
      <c r="E53" s="169">
        <f>SUM(D53)</f>
        <v>100</v>
      </c>
      <c r="F53" s="3"/>
      <c r="G53" s="3"/>
      <c r="H53" s="182"/>
      <c r="I53" s="182"/>
    </row>
    <row r="54" spans="3:10" hidden="1" x14ac:dyDescent="0.25">
      <c r="C54" s="162" t="s">
        <v>150</v>
      </c>
      <c r="D54" s="162">
        <v>100</v>
      </c>
      <c r="E54" s="169">
        <f>SUM(D54)</f>
        <v>100</v>
      </c>
      <c r="F54" s="3"/>
      <c r="G54" s="3"/>
      <c r="H54" s="182"/>
      <c r="I54" s="182"/>
    </row>
    <row r="55" spans="3:10" hidden="1" x14ac:dyDescent="0.25">
      <c r="C55" s="162" t="s">
        <v>218</v>
      </c>
      <c r="D55" s="162">
        <v>100</v>
      </c>
      <c r="E55" s="169">
        <f>SUM(D55)</f>
        <v>100</v>
      </c>
      <c r="F55" s="3"/>
      <c r="G55" s="3"/>
      <c r="H55" s="182"/>
      <c r="I55" s="182"/>
    </row>
    <row r="56" spans="3:10" hidden="1" x14ac:dyDescent="0.25">
      <c r="C56" s="162" t="s">
        <v>219</v>
      </c>
      <c r="D56" s="162">
        <v>100</v>
      </c>
      <c r="E56" s="169">
        <f>SUM(D56)</f>
        <v>100</v>
      </c>
      <c r="F56" s="3"/>
      <c r="G56" s="3"/>
      <c r="H56" s="182"/>
      <c r="I56" s="182"/>
    </row>
    <row r="57" spans="3:10" hidden="1" x14ac:dyDescent="0.25">
      <c r="C57" s="166"/>
      <c r="D57" s="166"/>
      <c r="E57" s="166"/>
      <c r="F57" s="3"/>
      <c r="G57" s="3"/>
      <c r="H57" s="182"/>
      <c r="I57" s="182"/>
    </row>
    <row r="58" spans="3:10" hidden="1" x14ac:dyDescent="0.25">
      <c r="C58" s="5" t="s">
        <v>70</v>
      </c>
      <c r="D58" s="6"/>
      <c r="E58" s="13"/>
      <c r="F58" s="3"/>
      <c r="G58" s="3"/>
      <c r="H58" s="182"/>
      <c r="I58" s="182"/>
    </row>
    <row r="59" spans="3:10" ht="75" hidden="1" x14ac:dyDescent="0.25">
      <c r="C59" s="167" t="s">
        <v>233</v>
      </c>
      <c r="D59" s="161" t="s">
        <v>206</v>
      </c>
      <c r="E59" s="161" t="s">
        <v>234</v>
      </c>
      <c r="F59" s="161" t="s">
        <v>235</v>
      </c>
      <c r="G59" s="161" t="s">
        <v>236</v>
      </c>
      <c r="H59" s="161" t="s">
        <v>237</v>
      </c>
      <c r="I59" s="161" t="s">
        <v>238</v>
      </c>
      <c r="J59" s="161" t="s">
        <v>239</v>
      </c>
    </row>
    <row r="60" spans="3:10" hidden="1" x14ac:dyDescent="0.25">
      <c r="C60" s="162" t="s">
        <v>147</v>
      </c>
      <c r="D60" s="157"/>
      <c r="E60" s="157"/>
      <c r="F60" s="157"/>
      <c r="G60" s="157"/>
      <c r="H60" s="157"/>
      <c r="I60" s="157"/>
      <c r="J60" s="169">
        <v>0</v>
      </c>
    </row>
    <row r="61" spans="3:10" hidden="1" x14ac:dyDescent="0.25">
      <c r="C61" s="162" t="s">
        <v>217</v>
      </c>
      <c r="D61" s="162">
        <v>50</v>
      </c>
      <c r="E61" s="162">
        <v>50</v>
      </c>
      <c r="F61" s="157"/>
      <c r="G61" s="157"/>
      <c r="H61" s="157"/>
      <c r="I61" s="157"/>
      <c r="J61" s="169">
        <f>SUM(D61:E61)</f>
        <v>100</v>
      </c>
    </row>
    <row r="62" spans="3:10" hidden="1" x14ac:dyDescent="0.25">
      <c r="C62" s="162" t="s">
        <v>149</v>
      </c>
      <c r="D62" s="157"/>
      <c r="E62" s="157"/>
      <c r="F62" s="157"/>
      <c r="G62" s="157"/>
      <c r="H62" s="157"/>
      <c r="I62" s="157"/>
      <c r="J62" s="169">
        <v>0</v>
      </c>
    </row>
    <row r="63" spans="3:10" hidden="1" x14ac:dyDescent="0.25">
      <c r="C63" s="162" t="s">
        <v>150</v>
      </c>
      <c r="D63" s="157"/>
      <c r="E63" s="157"/>
      <c r="F63" s="157"/>
      <c r="G63" s="157"/>
      <c r="H63" s="157"/>
      <c r="I63" s="157"/>
      <c r="J63" s="169">
        <v>0</v>
      </c>
    </row>
    <row r="64" spans="3:10" hidden="1" x14ac:dyDescent="0.25">
      <c r="C64" s="162" t="s">
        <v>218</v>
      </c>
      <c r="D64" s="157"/>
      <c r="E64" s="157"/>
      <c r="F64" s="157"/>
      <c r="G64" s="157"/>
      <c r="H64" s="157"/>
      <c r="I64" s="157"/>
      <c r="J64" s="169">
        <v>0</v>
      </c>
    </row>
    <row r="65" spans="1:10" hidden="1" x14ac:dyDescent="0.25">
      <c r="C65" s="162" t="s">
        <v>219</v>
      </c>
      <c r="D65" s="157"/>
      <c r="E65" s="157"/>
      <c r="F65" s="168"/>
      <c r="G65" s="168"/>
      <c r="H65" s="168"/>
      <c r="I65" s="168"/>
      <c r="J65" s="169">
        <f>SUM(F65:I65)</f>
        <v>0</v>
      </c>
    </row>
    <row r="66" spans="1:10" hidden="1" x14ac:dyDescent="0.25">
      <c r="C66" s="6"/>
      <c r="D66" s="6"/>
      <c r="E66" s="13"/>
      <c r="F66" s="3"/>
      <c r="G66" s="3"/>
      <c r="H66" s="182"/>
      <c r="I66" s="182"/>
    </row>
    <row r="67" spans="1:10" s="43" customFormat="1" hidden="1" x14ac:dyDescent="0.25">
      <c r="A67" s="43" t="s">
        <v>127</v>
      </c>
      <c r="C67" s="178"/>
      <c r="D67" s="178"/>
      <c r="E67" s="179"/>
      <c r="F67" s="180"/>
      <c r="G67" s="180"/>
      <c r="H67" s="181"/>
      <c r="I67" s="181"/>
    </row>
    <row r="69" spans="1:10" x14ac:dyDescent="0.25">
      <c r="A69" s="16" t="s">
        <v>194</v>
      </c>
      <c r="B69" s="16" t="s">
        <v>55</v>
      </c>
      <c r="C69" s="69">
        <f>'Summary (Main)'!C17</f>
        <v>2017</v>
      </c>
      <c r="D69" s="152" t="s">
        <v>213</v>
      </c>
      <c r="E69" s="73"/>
      <c r="F69" s="73"/>
      <c r="G69" s="9"/>
      <c r="H69" s="69">
        <v>365</v>
      </c>
    </row>
    <row r="70" spans="1:10" x14ac:dyDescent="0.25">
      <c r="A70" s="144" t="s">
        <v>191</v>
      </c>
      <c r="B70" s="145" t="s">
        <v>192</v>
      </c>
      <c r="C70" s="146" t="s">
        <v>147</v>
      </c>
      <c r="D70" s="146" t="s">
        <v>148</v>
      </c>
      <c r="E70" s="146" t="s">
        <v>149</v>
      </c>
      <c r="F70" s="146" t="s">
        <v>150</v>
      </c>
      <c r="G70" s="146" t="s">
        <v>151</v>
      </c>
      <c r="H70" s="146" t="s">
        <v>152</v>
      </c>
    </row>
    <row r="71" spans="1:10" x14ac:dyDescent="0.25">
      <c r="A71" s="2">
        <v>1</v>
      </c>
      <c r="B71" s="75">
        <v>1.5</v>
      </c>
      <c r="C71" s="2">
        <v>586</v>
      </c>
      <c r="D71" s="2">
        <v>2236</v>
      </c>
      <c r="E71" s="2">
        <v>1165</v>
      </c>
      <c r="F71" s="2">
        <v>88</v>
      </c>
      <c r="G71" s="2">
        <v>88</v>
      </c>
      <c r="H71" s="2">
        <v>0</v>
      </c>
    </row>
    <row r="72" spans="1:10" x14ac:dyDescent="0.25">
      <c r="A72" s="2">
        <v>2</v>
      </c>
      <c r="B72" s="75">
        <v>1</v>
      </c>
      <c r="C72" s="2">
        <v>78</v>
      </c>
      <c r="D72" s="2">
        <v>2756</v>
      </c>
      <c r="E72" s="2">
        <v>1356</v>
      </c>
      <c r="F72" s="2">
        <v>34</v>
      </c>
      <c r="G72" s="2">
        <v>50</v>
      </c>
      <c r="H72" s="2">
        <v>0</v>
      </c>
    </row>
    <row r="73" spans="1:10" x14ac:dyDescent="0.25">
      <c r="A73" s="2">
        <v>3</v>
      </c>
      <c r="B73" s="75">
        <v>2.5</v>
      </c>
      <c r="C73" s="2">
        <v>222</v>
      </c>
      <c r="D73" s="2">
        <v>1853</v>
      </c>
      <c r="E73" s="2">
        <v>1754</v>
      </c>
      <c r="F73" s="2">
        <v>25</v>
      </c>
      <c r="G73" s="2">
        <v>53</v>
      </c>
      <c r="H73" s="2">
        <v>0</v>
      </c>
    </row>
    <row r="74" spans="1:10" x14ac:dyDescent="0.25">
      <c r="A74" s="2">
        <v>4</v>
      </c>
      <c r="B74" s="75">
        <v>1.2</v>
      </c>
      <c r="C74" s="2">
        <v>261</v>
      </c>
      <c r="D74" s="2">
        <v>787</v>
      </c>
      <c r="E74" s="2">
        <v>832</v>
      </c>
      <c r="F74" s="2">
        <v>0</v>
      </c>
      <c r="G74" s="2">
        <v>0</v>
      </c>
      <c r="H74" s="2">
        <v>0</v>
      </c>
    </row>
    <row r="75" spans="1:10" x14ac:dyDescent="0.25">
      <c r="A75" s="2">
        <v>5</v>
      </c>
      <c r="B75" s="75">
        <v>1.2</v>
      </c>
      <c r="C75" s="2">
        <v>124</v>
      </c>
      <c r="D75" s="2">
        <v>185</v>
      </c>
      <c r="E75" s="2">
        <v>0</v>
      </c>
      <c r="F75" s="2">
        <v>22</v>
      </c>
      <c r="G75" s="2">
        <v>15</v>
      </c>
      <c r="H75" s="2">
        <v>0</v>
      </c>
    </row>
    <row r="76" spans="1:10" x14ac:dyDescent="0.25">
      <c r="A76" t="s">
        <v>193</v>
      </c>
    </row>
    <row r="78" spans="1:10" x14ac:dyDescent="0.25">
      <c r="A78" s="16" t="s">
        <v>194</v>
      </c>
      <c r="B78" s="16" t="s">
        <v>55</v>
      </c>
      <c r="C78" s="69">
        <f>C69+1</f>
        <v>2018</v>
      </c>
      <c r="D78" s="152" t="s">
        <v>213</v>
      </c>
      <c r="E78" s="73"/>
      <c r="F78" s="73"/>
      <c r="G78" s="9"/>
      <c r="H78" s="69">
        <v>365</v>
      </c>
    </row>
    <row r="79" spans="1:10" x14ac:dyDescent="0.25">
      <c r="A79" s="144" t="s">
        <v>191</v>
      </c>
      <c r="B79" s="145" t="s">
        <v>192</v>
      </c>
      <c r="C79" s="146" t="s">
        <v>147</v>
      </c>
      <c r="D79" s="146" t="s">
        <v>148</v>
      </c>
      <c r="E79" s="146" t="s">
        <v>149</v>
      </c>
      <c r="F79" s="146" t="s">
        <v>150</v>
      </c>
      <c r="G79" s="146" t="s">
        <v>151</v>
      </c>
      <c r="H79" s="146" t="s">
        <v>152</v>
      </c>
    </row>
    <row r="80" spans="1:10" x14ac:dyDescent="0.25">
      <c r="A80" s="2">
        <v>1</v>
      </c>
      <c r="B80" s="75">
        <v>0.67</v>
      </c>
      <c r="C80" s="2">
        <v>896</v>
      </c>
      <c r="D80" s="2">
        <v>8911</v>
      </c>
      <c r="E80" s="2">
        <v>919</v>
      </c>
      <c r="F80" s="2">
        <v>126</v>
      </c>
      <c r="G80" s="2">
        <v>322</v>
      </c>
      <c r="H80" s="2">
        <v>310</v>
      </c>
    </row>
    <row r="81" spans="1:8" x14ac:dyDescent="0.25">
      <c r="A81" s="2">
        <v>2</v>
      </c>
      <c r="B81" s="75">
        <v>0.45</v>
      </c>
      <c r="C81" s="2">
        <v>608</v>
      </c>
      <c r="D81" s="2">
        <v>6047</v>
      </c>
      <c r="E81" s="2">
        <v>623</v>
      </c>
      <c r="F81" s="2">
        <v>86</v>
      </c>
      <c r="G81" s="2">
        <v>210</v>
      </c>
      <c r="H81" s="2">
        <v>218</v>
      </c>
    </row>
    <row r="82" spans="1:8" x14ac:dyDescent="0.25">
      <c r="A82" s="2">
        <v>3</v>
      </c>
      <c r="B82" s="75">
        <v>0.34</v>
      </c>
      <c r="C82" s="2">
        <v>829</v>
      </c>
      <c r="D82" s="2">
        <v>8243</v>
      </c>
      <c r="E82" s="2">
        <v>850</v>
      </c>
      <c r="F82" s="2">
        <v>117</v>
      </c>
      <c r="G82" s="2">
        <v>297</v>
      </c>
      <c r="H82" s="2">
        <v>287</v>
      </c>
    </row>
    <row r="83" spans="1:8" x14ac:dyDescent="0.25">
      <c r="A83" s="2">
        <v>4</v>
      </c>
      <c r="B83" s="75">
        <v>0.24</v>
      </c>
      <c r="C83" s="2">
        <v>937</v>
      </c>
      <c r="D83" s="2">
        <v>9323</v>
      </c>
      <c r="E83" s="2">
        <v>961</v>
      </c>
      <c r="F83" s="2">
        <v>132</v>
      </c>
      <c r="G83" s="2">
        <v>336</v>
      </c>
      <c r="H83" s="2">
        <v>324</v>
      </c>
    </row>
    <row r="84" spans="1:8" x14ac:dyDescent="0.25">
      <c r="A84" s="2">
        <v>5</v>
      </c>
      <c r="B84" s="75">
        <v>0.5</v>
      </c>
      <c r="C84" s="2">
        <v>1080</v>
      </c>
      <c r="D84" s="2">
        <v>10748</v>
      </c>
      <c r="E84" s="2">
        <v>1108</v>
      </c>
      <c r="F84" s="2">
        <v>152</v>
      </c>
      <c r="G84" s="2">
        <v>388</v>
      </c>
      <c r="H84" s="2">
        <v>374</v>
      </c>
    </row>
    <row r="85" spans="1:8" x14ac:dyDescent="0.25">
      <c r="A85" t="s">
        <v>193</v>
      </c>
    </row>
    <row r="87" spans="1:8" x14ac:dyDescent="0.25">
      <c r="A87" s="16" t="s">
        <v>194</v>
      </c>
      <c r="B87" s="16" t="s">
        <v>55</v>
      </c>
      <c r="C87" s="69">
        <f>C78+1</f>
        <v>2019</v>
      </c>
      <c r="D87" s="152" t="s">
        <v>213</v>
      </c>
      <c r="E87" s="73"/>
      <c r="F87" s="73"/>
      <c r="G87" s="73"/>
      <c r="H87" s="69">
        <v>365</v>
      </c>
    </row>
    <row r="88" spans="1:8" x14ac:dyDescent="0.25">
      <c r="A88" s="144" t="s">
        <v>191</v>
      </c>
      <c r="B88" s="145" t="s">
        <v>192</v>
      </c>
      <c r="C88" s="146" t="s">
        <v>147</v>
      </c>
      <c r="D88" s="146" t="s">
        <v>148</v>
      </c>
      <c r="E88" s="146" t="s">
        <v>149</v>
      </c>
      <c r="F88" s="146" t="s">
        <v>150</v>
      </c>
      <c r="G88" s="146" t="s">
        <v>151</v>
      </c>
      <c r="H88" s="146" t="s">
        <v>152</v>
      </c>
    </row>
    <row r="89" spans="1:8" x14ac:dyDescent="0.25">
      <c r="A89" s="2">
        <v>1</v>
      </c>
      <c r="B89" s="75">
        <v>0.67</v>
      </c>
      <c r="C89" s="2">
        <v>896</v>
      </c>
      <c r="D89" s="2">
        <v>8911</v>
      </c>
      <c r="E89" s="2">
        <v>919</v>
      </c>
      <c r="F89" s="2">
        <v>126</v>
      </c>
      <c r="G89" s="2">
        <v>322</v>
      </c>
      <c r="H89" s="2">
        <v>310</v>
      </c>
    </row>
    <row r="90" spans="1:8" x14ac:dyDescent="0.25">
      <c r="A90" s="2">
        <v>2</v>
      </c>
      <c r="B90" s="75">
        <v>0.45</v>
      </c>
      <c r="C90" s="2">
        <v>608</v>
      </c>
      <c r="D90" s="2">
        <v>6047</v>
      </c>
      <c r="E90" s="2">
        <v>623</v>
      </c>
      <c r="F90" s="2">
        <v>86</v>
      </c>
      <c r="G90" s="2">
        <v>210</v>
      </c>
      <c r="H90" s="2">
        <v>218</v>
      </c>
    </row>
    <row r="91" spans="1:8" x14ac:dyDescent="0.25">
      <c r="A91" s="2">
        <v>3</v>
      </c>
      <c r="B91" s="75">
        <v>0.34</v>
      </c>
      <c r="C91" s="2">
        <v>829</v>
      </c>
      <c r="D91" s="2">
        <v>8243</v>
      </c>
      <c r="E91" s="2">
        <v>850</v>
      </c>
      <c r="F91" s="2">
        <v>117</v>
      </c>
      <c r="G91" s="2">
        <v>297</v>
      </c>
      <c r="H91" s="2">
        <v>287</v>
      </c>
    </row>
    <row r="92" spans="1:8" x14ac:dyDescent="0.25">
      <c r="A92" s="2">
        <v>4</v>
      </c>
      <c r="B92" s="75">
        <v>0.24</v>
      </c>
      <c r="C92" s="2">
        <v>937</v>
      </c>
      <c r="D92" s="2">
        <v>9323</v>
      </c>
      <c r="E92" s="2">
        <v>961</v>
      </c>
      <c r="F92" s="2">
        <v>132</v>
      </c>
      <c r="G92" s="2">
        <v>336</v>
      </c>
      <c r="H92" s="2">
        <v>324</v>
      </c>
    </row>
    <row r="93" spans="1:8" x14ac:dyDescent="0.25">
      <c r="A93" s="2">
        <v>5</v>
      </c>
      <c r="B93" s="75">
        <v>0.5</v>
      </c>
      <c r="C93" s="2">
        <v>1080</v>
      </c>
      <c r="D93" s="2">
        <v>10748</v>
      </c>
      <c r="E93" s="2">
        <v>1108</v>
      </c>
      <c r="F93" s="2">
        <v>152</v>
      </c>
      <c r="G93" s="2">
        <v>388</v>
      </c>
      <c r="H93" s="2">
        <v>374</v>
      </c>
    </row>
    <row r="94" spans="1:8" x14ac:dyDescent="0.25">
      <c r="A94" t="s">
        <v>193</v>
      </c>
    </row>
    <row r="97" spans="1:9" x14ac:dyDescent="0.25">
      <c r="A97" s="537" t="s">
        <v>156</v>
      </c>
      <c r="B97" s="537"/>
      <c r="C97" s="537"/>
      <c r="D97" s="537"/>
      <c r="E97" s="537"/>
      <c r="F97" s="537"/>
      <c r="G97" s="57"/>
      <c r="H97" s="57"/>
      <c r="I97" s="57"/>
    </row>
    <row r="98" spans="1:9" s="147" customFormat="1" ht="15" customHeight="1" x14ac:dyDescent="0.25">
      <c r="B98" s="149" t="s">
        <v>153</v>
      </c>
      <c r="C98" s="148"/>
      <c r="D98" s="148"/>
      <c r="E98" s="148"/>
      <c r="F98" s="148"/>
      <c r="G98" s="150"/>
      <c r="H98" s="538" t="s">
        <v>155</v>
      </c>
      <c r="I98" s="541" t="s">
        <v>154</v>
      </c>
    </row>
    <row r="99" spans="1:9" x14ac:dyDescent="0.25">
      <c r="B99" s="14" t="s">
        <v>212</v>
      </c>
      <c r="C99" s="14" t="s">
        <v>212</v>
      </c>
      <c r="D99" s="14" t="s">
        <v>212</v>
      </c>
      <c r="E99" s="14" t="s">
        <v>212</v>
      </c>
      <c r="F99" s="14" t="s">
        <v>212</v>
      </c>
      <c r="G99" s="56" t="s">
        <v>212</v>
      </c>
      <c r="H99" s="539"/>
      <c r="I99" s="542"/>
    </row>
    <row r="100" spans="1:9" x14ac:dyDescent="0.25">
      <c r="A100" s="71" t="s">
        <v>55</v>
      </c>
      <c r="B100" s="72" t="s">
        <v>147</v>
      </c>
      <c r="C100" s="72" t="s">
        <v>148</v>
      </c>
      <c r="D100" s="72" t="s">
        <v>149</v>
      </c>
      <c r="E100" s="72" t="s">
        <v>150</v>
      </c>
      <c r="F100" s="72" t="s">
        <v>151</v>
      </c>
      <c r="G100" s="72" t="s">
        <v>152</v>
      </c>
      <c r="H100" s="540"/>
      <c r="I100" s="543"/>
    </row>
    <row r="101" spans="1:9" x14ac:dyDescent="0.25">
      <c r="A101" s="134">
        <f>'Summary (Main)'!C17</f>
        <v>2017</v>
      </c>
      <c r="B101" s="134">
        <f t="shared" ref="B101:G101" si="0">SUM(C71:C75)</f>
        <v>1271</v>
      </c>
      <c r="C101" s="134">
        <f t="shared" si="0"/>
        <v>7817</v>
      </c>
      <c r="D101" s="134">
        <f t="shared" si="0"/>
        <v>5107</v>
      </c>
      <c r="E101" s="134">
        <f t="shared" si="0"/>
        <v>169</v>
      </c>
      <c r="F101" s="134">
        <f t="shared" si="0"/>
        <v>206</v>
      </c>
      <c r="G101" s="134">
        <f t="shared" si="0"/>
        <v>0</v>
      </c>
      <c r="H101" s="135">
        <f>H135</f>
        <v>8.6436127574999997</v>
      </c>
      <c r="I101" s="136">
        <f>I136</f>
        <v>3154.9186564875004</v>
      </c>
    </row>
    <row r="102" spans="1:9" x14ac:dyDescent="0.25">
      <c r="A102" s="137">
        <f>A101+1</f>
        <v>2018</v>
      </c>
      <c r="B102" s="137">
        <f t="shared" ref="B102:G102" si="1">SUM(C80:C84)</f>
        <v>4350</v>
      </c>
      <c r="C102" s="137">
        <f t="shared" si="1"/>
        <v>43272</v>
      </c>
      <c r="D102" s="137">
        <f t="shared" si="1"/>
        <v>4461</v>
      </c>
      <c r="E102" s="137">
        <f t="shared" si="1"/>
        <v>613</v>
      </c>
      <c r="F102" s="137">
        <f t="shared" si="1"/>
        <v>1553</v>
      </c>
      <c r="G102" s="137">
        <f t="shared" si="1"/>
        <v>1513</v>
      </c>
      <c r="H102" s="138" t="e">
        <f>H137</f>
        <v>#REF!</v>
      </c>
      <c r="I102" s="139" t="e">
        <f>I138</f>
        <v>#REF!</v>
      </c>
    </row>
    <row r="103" spans="1:9" x14ac:dyDescent="0.25">
      <c r="A103" s="137">
        <f>A102+1</f>
        <v>2019</v>
      </c>
      <c r="B103" s="137">
        <f t="shared" ref="B103:G103" si="2">SUM(C89:C93)</f>
        <v>4350</v>
      </c>
      <c r="C103" s="137">
        <f t="shared" si="2"/>
        <v>43272</v>
      </c>
      <c r="D103" s="137">
        <f t="shared" si="2"/>
        <v>4461</v>
      </c>
      <c r="E103" s="137">
        <f t="shared" si="2"/>
        <v>613</v>
      </c>
      <c r="F103" s="137">
        <f t="shared" si="2"/>
        <v>1553</v>
      </c>
      <c r="G103" s="137">
        <f t="shared" si="2"/>
        <v>1513</v>
      </c>
      <c r="H103" s="140" t="e">
        <f>H139</f>
        <v>#REF!</v>
      </c>
      <c r="I103" s="139" t="e">
        <f>I140</f>
        <v>#REF!</v>
      </c>
    </row>
    <row r="104" spans="1:9" x14ac:dyDescent="0.25">
      <c r="A104" s="137">
        <f>A103+1</f>
        <v>2020</v>
      </c>
      <c r="B104" s="137"/>
      <c r="C104" s="137"/>
      <c r="D104" s="137"/>
      <c r="E104" s="137"/>
      <c r="F104" s="137"/>
      <c r="G104" s="137"/>
      <c r="H104" s="138"/>
      <c r="I104" s="139"/>
    </row>
    <row r="105" spans="1:9" x14ac:dyDescent="0.25">
      <c r="A105" s="137">
        <f>A104+1</f>
        <v>2021</v>
      </c>
      <c r="B105" s="141"/>
      <c r="C105" s="141"/>
      <c r="D105" s="141"/>
      <c r="E105" s="141"/>
      <c r="F105" s="141"/>
      <c r="G105" s="141"/>
      <c r="H105" s="142"/>
      <c r="I105" s="143"/>
    </row>
    <row r="122" spans="1:9" x14ac:dyDescent="0.25">
      <c r="A122" s="503" t="s">
        <v>33</v>
      </c>
      <c r="B122" s="504"/>
      <c r="C122" s="510"/>
      <c r="D122" s="503" t="s">
        <v>34</v>
      </c>
      <c r="E122" s="504"/>
      <c r="F122" s="510"/>
      <c r="G122" s="503" t="s">
        <v>35</v>
      </c>
      <c r="H122" s="504"/>
      <c r="I122" s="510"/>
    </row>
    <row r="123" spans="1:9" x14ac:dyDescent="0.25">
      <c r="A123" s="548"/>
      <c r="B123" s="549"/>
      <c r="C123" s="550"/>
      <c r="D123" s="556"/>
      <c r="E123" s="557"/>
      <c r="F123" s="558"/>
      <c r="G123" s="556"/>
      <c r="H123" s="557"/>
      <c r="I123" s="558"/>
    </row>
    <row r="124" spans="1:9" x14ac:dyDescent="0.25">
      <c r="A124" s="551"/>
      <c r="B124" s="472"/>
      <c r="C124" s="552"/>
      <c r="D124" s="559"/>
      <c r="E124" s="522"/>
      <c r="F124" s="560"/>
      <c r="G124" s="559"/>
      <c r="H124" s="522"/>
      <c r="I124" s="560"/>
    </row>
    <row r="125" spans="1:9" x14ac:dyDescent="0.25">
      <c r="A125" s="553"/>
      <c r="B125" s="554"/>
      <c r="C125" s="555"/>
      <c r="D125" s="525"/>
      <c r="E125" s="526"/>
      <c r="F125" s="561"/>
      <c r="G125" s="525"/>
      <c r="H125" s="526"/>
      <c r="I125" s="561"/>
    </row>
    <row r="126" spans="1:9" x14ac:dyDescent="0.25">
      <c r="A126" s="562" t="s">
        <v>36</v>
      </c>
      <c r="B126" s="563"/>
      <c r="C126" s="564"/>
      <c r="D126" s="562" t="s">
        <v>36</v>
      </c>
      <c r="E126" s="563"/>
      <c r="F126" s="564"/>
      <c r="G126" s="562" t="s">
        <v>36</v>
      </c>
      <c r="H126" s="563"/>
      <c r="I126" s="564"/>
    </row>
    <row r="127" spans="1:9" x14ac:dyDescent="0.25">
      <c r="A127" s="562" t="s">
        <v>14</v>
      </c>
      <c r="B127" s="563"/>
      <c r="C127" s="564"/>
      <c r="D127" s="562" t="s">
        <v>14</v>
      </c>
      <c r="E127" s="563"/>
      <c r="F127" s="564"/>
      <c r="G127" s="562" t="s">
        <v>14</v>
      </c>
      <c r="H127" s="563"/>
      <c r="I127" s="564"/>
    </row>
    <row r="130" spans="1:9" x14ac:dyDescent="0.25">
      <c r="A130" t="s">
        <v>195</v>
      </c>
      <c r="B130" t="s">
        <v>55</v>
      </c>
      <c r="C130" t="s">
        <v>196</v>
      </c>
    </row>
    <row r="131" spans="1:9" x14ac:dyDescent="0.25">
      <c r="A131" s="537" t="s">
        <v>214</v>
      </c>
      <c r="B131" s="537"/>
      <c r="C131" s="537"/>
      <c r="D131" s="537"/>
      <c r="E131" s="537"/>
      <c r="F131" s="537"/>
      <c r="G131" s="57"/>
      <c r="H131" s="57"/>
      <c r="I131" s="57"/>
    </row>
    <row r="132" spans="1:9" x14ac:dyDescent="0.25">
      <c r="B132" s="80" t="s">
        <v>153</v>
      </c>
      <c r="C132" s="73"/>
      <c r="D132" s="78"/>
      <c r="E132" s="78"/>
      <c r="F132" s="78"/>
      <c r="G132" s="79"/>
    </row>
    <row r="133" spans="1:9" x14ac:dyDescent="0.25">
      <c r="B133" s="14" t="s">
        <v>159</v>
      </c>
      <c r="C133" s="14" t="s">
        <v>159</v>
      </c>
      <c r="D133" s="14" t="s">
        <v>159</v>
      </c>
      <c r="E133" s="14" t="s">
        <v>159</v>
      </c>
      <c r="F133" s="14" t="s">
        <v>159</v>
      </c>
      <c r="G133" s="56" t="s">
        <v>159</v>
      </c>
    </row>
    <row r="134" spans="1:9" ht="51.75" x14ac:dyDescent="0.25">
      <c r="A134" s="71" t="s">
        <v>55</v>
      </c>
      <c r="B134" s="72" t="s">
        <v>147</v>
      </c>
      <c r="C134" s="72" t="s">
        <v>148</v>
      </c>
      <c r="D134" s="72" t="s">
        <v>149</v>
      </c>
      <c r="E134" s="72" t="s">
        <v>150</v>
      </c>
      <c r="F134" s="72" t="s">
        <v>151</v>
      </c>
      <c r="G134" s="72" t="s">
        <v>152</v>
      </c>
      <c r="H134" s="70" t="s">
        <v>155</v>
      </c>
      <c r="I134" s="70" t="s">
        <v>154</v>
      </c>
    </row>
    <row r="135" spans="1:9" x14ac:dyDescent="0.25">
      <c r="A135" s="11">
        <f>C69</f>
        <v>2017</v>
      </c>
      <c r="B135" s="74">
        <f>($C195+$C198+$C203)/1000000</f>
        <v>0.23382029999999998</v>
      </c>
      <c r="C135" s="74">
        <f>($D195+$D198+$D203)/1000000</f>
        <v>2.6220420574999999</v>
      </c>
      <c r="D135" s="74">
        <f>($E195+$E198+$E203)/1000000</f>
        <v>5.2747935000000004</v>
      </c>
      <c r="E135" s="74">
        <f>($F$195+$F$198+$F$203)/1000000</f>
        <v>0.1990769</v>
      </c>
      <c r="F135" s="74">
        <f>($G195+$G198+$G203)/1000000</f>
        <v>0.31387999999999999</v>
      </c>
      <c r="G135" s="74">
        <f>($H195+$H198+$H203)/1000000</f>
        <v>0</v>
      </c>
      <c r="H135" s="74">
        <f>SUM(B135:G135)</f>
        <v>8.6436127574999997</v>
      </c>
      <c r="I135" s="103"/>
    </row>
    <row r="136" spans="1:9" x14ac:dyDescent="0.25">
      <c r="A136" s="104"/>
      <c r="B136" s="107">
        <f t="shared" ref="B136:G136" si="3">B135*$H69</f>
        <v>85.344409499999998</v>
      </c>
      <c r="C136" s="107">
        <f t="shared" si="3"/>
        <v>957.0453509875</v>
      </c>
      <c r="D136" s="107">
        <f t="shared" si="3"/>
        <v>1925.2996275</v>
      </c>
      <c r="E136" s="107">
        <f t="shared" si="3"/>
        <v>72.663068499999994</v>
      </c>
      <c r="F136" s="107">
        <f t="shared" si="3"/>
        <v>114.56619999999999</v>
      </c>
      <c r="G136" s="107">
        <f t="shared" si="3"/>
        <v>0</v>
      </c>
      <c r="H136" s="107"/>
      <c r="I136" s="108">
        <f>SUM(B136:G136)</f>
        <v>3154.9186564875004</v>
      </c>
    </row>
    <row r="137" spans="1:9" x14ac:dyDescent="0.25">
      <c r="A137" s="11">
        <f>C78</f>
        <v>2018</v>
      </c>
      <c r="B137" s="74" t="e">
        <f>#REF!/1000000</f>
        <v>#REF!</v>
      </c>
      <c r="C137" s="74" t="e">
        <f>#REF!/1000000</f>
        <v>#REF!</v>
      </c>
      <c r="D137" s="74" t="e">
        <f>#REF!/1000000</f>
        <v>#REF!</v>
      </c>
      <c r="E137" s="74">
        <f>F198/1000000</f>
        <v>0.1990769</v>
      </c>
      <c r="F137" s="74">
        <f>G198/1000000</f>
        <v>0.20448749999999999</v>
      </c>
      <c r="G137" s="74">
        <f>H198/1000000</f>
        <v>0</v>
      </c>
      <c r="H137" s="74" t="e">
        <f>SUM(B137:G137)</f>
        <v>#REF!</v>
      </c>
      <c r="I137" s="38"/>
    </row>
    <row r="138" spans="1:9" x14ac:dyDescent="0.25">
      <c r="A138" s="104"/>
      <c r="B138" s="107" t="e">
        <f t="shared" ref="B138:G138" si="4">B137*365</f>
        <v>#REF!</v>
      </c>
      <c r="C138" s="107" t="e">
        <f t="shared" si="4"/>
        <v>#REF!</v>
      </c>
      <c r="D138" s="107" t="e">
        <f t="shared" si="4"/>
        <v>#REF!</v>
      </c>
      <c r="E138" s="107">
        <f t="shared" si="4"/>
        <v>72.663068499999994</v>
      </c>
      <c r="F138" s="107">
        <f t="shared" si="4"/>
        <v>74.637937499999992</v>
      </c>
      <c r="G138" s="107">
        <f t="shared" si="4"/>
        <v>0</v>
      </c>
      <c r="H138" s="107"/>
      <c r="I138" s="108" t="e">
        <f>SUM(B138:G138)</f>
        <v>#REF!</v>
      </c>
    </row>
    <row r="139" spans="1:9" x14ac:dyDescent="0.25">
      <c r="A139" s="11">
        <f>A137+1</f>
        <v>2019</v>
      </c>
      <c r="B139" s="109" t="e">
        <f>#REF!/1000000</f>
        <v>#REF!</v>
      </c>
      <c r="C139" s="109" t="e">
        <f>#REF!/1000000</f>
        <v>#REF!</v>
      </c>
      <c r="D139" s="109" t="e">
        <f>#REF!/1000000</f>
        <v>#REF!</v>
      </c>
      <c r="E139" s="109" t="e">
        <f>#REF!/1000000</f>
        <v>#REF!</v>
      </c>
      <c r="F139" s="109" t="e">
        <f>#REF!/1000000</f>
        <v>#REF!</v>
      </c>
      <c r="G139" s="109" t="e">
        <f>#REF!/1000000</f>
        <v>#REF!</v>
      </c>
      <c r="H139" s="109" t="e">
        <f>SUM(B139:G139)</f>
        <v>#REF!</v>
      </c>
      <c r="I139" s="110"/>
    </row>
    <row r="140" spans="1:9" x14ac:dyDescent="0.25">
      <c r="A140" s="104"/>
      <c r="B140" s="107" t="e">
        <f t="shared" ref="B140:G140" si="5">B139*645</f>
        <v>#REF!</v>
      </c>
      <c r="C140" s="107" t="e">
        <f t="shared" si="5"/>
        <v>#REF!</v>
      </c>
      <c r="D140" s="107" t="e">
        <f t="shared" si="5"/>
        <v>#REF!</v>
      </c>
      <c r="E140" s="107" t="e">
        <f t="shared" si="5"/>
        <v>#REF!</v>
      </c>
      <c r="F140" s="107" t="e">
        <f t="shared" si="5"/>
        <v>#REF!</v>
      </c>
      <c r="G140" s="107" t="e">
        <f t="shared" si="5"/>
        <v>#REF!</v>
      </c>
      <c r="H140" s="107"/>
      <c r="I140" s="107" t="e">
        <f>SUM(B140:G140)</f>
        <v>#REF!</v>
      </c>
    </row>
    <row r="141" spans="1:9" x14ac:dyDescent="0.25">
      <c r="A141" s="99"/>
      <c r="B141" s="99"/>
      <c r="C141" s="99"/>
      <c r="D141" s="99"/>
      <c r="E141" s="99"/>
      <c r="F141" s="99"/>
      <c r="G141" s="99"/>
      <c r="H141" s="99"/>
      <c r="I141" s="100"/>
    </row>
    <row r="142" spans="1:9" x14ac:dyDescent="0.25">
      <c r="I142" s="77"/>
    </row>
    <row r="143" spans="1:9" x14ac:dyDescent="0.25">
      <c r="I143" s="77"/>
    </row>
    <row r="144" spans="1:9" ht="15.75" thickBot="1" x14ac:dyDescent="0.3">
      <c r="A144" s="101"/>
      <c r="B144" s="101"/>
      <c r="C144" s="101"/>
      <c r="D144" s="101"/>
      <c r="E144" s="101"/>
      <c r="F144" s="101"/>
      <c r="G144" s="101"/>
      <c r="H144" s="101"/>
      <c r="I144" s="105"/>
    </row>
    <row r="145" spans="1:9" x14ac:dyDescent="0.25">
      <c r="B145" t="s">
        <v>55</v>
      </c>
      <c r="C145" s="106">
        <f>C69</f>
        <v>2017</v>
      </c>
      <c r="I145" s="77"/>
    </row>
    <row r="146" spans="1:9" x14ac:dyDescent="0.25">
      <c r="A146" s="82"/>
      <c r="B146" s="82"/>
      <c r="C146" s="95" t="s">
        <v>147</v>
      </c>
      <c r="D146" s="95" t="s">
        <v>148</v>
      </c>
      <c r="E146" s="95" t="s">
        <v>149</v>
      </c>
      <c r="F146" s="95" t="s">
        <v>150</v>
      </c>
      <c r="G146" s="95" t="s">
        <v>151</v>
      </c>
      <c r="H146" s="95" t="s">
        <v>152</v>
      </c>
      <c r="I146" s="96"/>
    </row>
    <row r="147" spans="1:9" ht="25.5" customHeight="1" x14ac:dyDescent="0.25">
      <c r="A147" s="83">
        <v>0</v>
      </c>
      <c r="B147" s="565" t="s">
        <v>174</v>
      </c>
      <c r="C147" s="565"/>
      <c r="D147" s="565"/>
      <c r="E147" s="565"/>
      <c r="I147" s="77"/>
    </row>
    <row r="148" spans="1:9" x14ac:dyDescent="0.25">
      <c r="A148" s="544" t="s">
        <v>163</v>
      </c>
      <c r="B148" s="546" t="s">
        <v>199</v>
      </c>
      <c r="C148" s="72" t="s">
        <v>147</v>
      </c>
      <c r="D148" s="72" t="s">
        <v>148</v>
      </c>
      <c r="E148" s="72" t="s">
        <v>149</v>
      </c>
      <c r="F148" s="72" t="s">
        <v>150</v>
      </c>
      <c r="G148" s="72" t="s">
        <v>151</v>
      </c>
      <c r="H148" s="72" t="s">
        <v>152</v>
      </c>
      <c r="I148" s="77"/>
    </row>
    <row r="149" spans="1:9" x14ac:dyDescent="0.25">
      <c r="A149" s="545"/>
      <c r="B149" s="547"/>
      <c r="C149" s="503" t="s">
        <v>176</v>
      </c>
      <c r="D149" s="504"/>
      <c r="E149" s="504"/>
      <c r="F149" s="504"/>
      <c r="G149" s="504"/>
      <c r="H149" s="510"/>
      <c r="I149" s="77"/>
    </row>
    <row r="150" spans="1:9" x14ac:dyDescent="0.25">
      <c r="A150" s="88">
        <v>1</v>
      </c>
      <c r="B150" s="102">
        <f t="shared" ref="B150:H154" si="6">B71</f>
        <v>1.5</v>
      </c>
      <c r="C150" s="90">
        <f t="shared" si="6"/>
        <v>586</v>
      </c>
      <c r="D150" s="90">
        <f t="shared" si="6"/>
        <v>2236</v>
      </c>
      <c r="E150" s="90">
        <f t="shared" si="6"/>
        <v>1165</v>
      </c>
      <c r="F150" s="90">
        <f t="shared" si="6"/>
        <v>88</v>
      </c>
      <c r="G150" s="90">
        <f t="shared" si="6"/>
        <v>88</v>
      </c>
      <c r="H150" s="90">
        <f t="shared" si="6"/>
        <v>0</v>
      </c>
      <c r="I150" s="77"/>
    </row>
    <row r="151" spans="1:9" x14ac:dyDescent="0.25">
      <c r="A151" s="88">
        <v>2</v>
      </c>
      <c r="B151" s="102">
        <f t="shared" si="6"/>
        <v>1</v>
      </c>
      <c r="C151" s="90">
        <f t="shared" si="6"/>
        <v>78</v>
      </c>
      <c r="D151" s="90">
        <f t="shared" si="6"/>
        <v>2756</v>
      </c>
      <c r="E151" s="90">
        <f t="shared" si="6"/>
        <v>1356</v>
      </c>
      <c r="F151" s="90">
        <f t="shared" si="6"/>
        <v>34</v>
      </c>
      <c r="G151" s="90">
        <f t="shared" si="6"/>
        <v>50</v>
      </c>
      <c r="H151" s="90">
        <f t="shared" si="6"/>
        <v>0</v>
      </c>
      <c r="I151" s="77"/>
    </row>
    <row r="152" spans="1:9" x14ac:dyDescent="0.25">
      <c r="A152" s="88">
        <v>3</v>
      </c>
      <c r="B152" s="102">
        <f t="shared" si="6"/>
        <v>2.5</v>
      </c>
      <c r="C152" s="90">
        <f t="shared" si="6"/>
        <v>222</v>
      </c>
      <c r="D152" s="90">
        <f t="shared" si="6"/>
        <v>1853</v>
      </c>
      <c r="E152" s="90">
        <f t="shared" si="6"/>
        <v>1754</v>
      </c>
      <c r="F152" s="90">
        <f t="shared" si="6"/>
        <v>25</v>
      </c>
      <c r="G152" s="90">
        <f t="shared" si="6"/>
        <v>53</v>
      </c>
      <c r="H152" s="90">
        <f t="shared" si="6"/>
        <v>0</v>
      </c>
      <c r="I152" s="77"/>
    </row>
    <row r="153" spans="1:9" x14ac:dyDescent="0.25">
      <c r="A153" s="88">
        <v>4</v>
      </c>
      <c r="B153" s="102">
        <f t="shared" si="6"/>
        <v>1.2</v>
      </c>
      <c r="C153" s="90">
        <f t="shared" si="6"/>
        <v>261</v>
      </c>
      <c r="D153" s="90">
        <f t="shared" si="6"/>
        <v>787</v>
      </c>
      <c r="E153" s="90">
        <f t="shared" si="6"/>
        <v>832</v>
      </c>
      <c r="F153" s="90">
        <f t="shared" si="6"/>
        <v>0</v>
      </c>
      <c r="G153" s="90">
        <f t="shared" si="6"/>
        <v>0</v>
      </c>
      <c r="H153" s="90">
        <f t="shared" si="6"/>
        <v>0</v>
      </c>
      <c r="I153" s="77"/>
    </row>
    <row r="154" spans="1:9" x14ac:dyDescent="0.25">
      <c r="A154" s="88">
        <v>5</v>
      </c>
      <c r="B154" s="102">
        <f t="shared" si="6"/>
        <v>1.2</v>
      </c>
      <c r="C154" s="90">
        <f t="shared" si="6"/>
        <v>124</v>
      </c>
      <c r="D154" s="90">
        <f>D75</f>
        <v>185</v>
      </c>
      <c r="E154" s="90">
        <v>75</v>
      </c>
      <c r="F154" s="90">
        <f>F75</f>
        <v>22</v>
      </c>
      <c r="G154" s="90">
        <f>G75</f>
        <v>15</v>
      </c>
      <c r="H154" s="90">
        <f>H75</f>
        <v>0</v>
      </c>
      <c r="I154" s="77"/>
    </row>
    <row r="155" spans="1:9" x14ac:dyDescent="0.25">
      <c r="A155" s="91" t="s">
        <v>173</v>
      </c>
      <c r="B155" s="13"/>
      <c r="C155" s="13"/>
      <c r="D155" s="13"/>
      <c r="E155" s="13"/>
      <c r="F155" s="13"/>
      <c r="G155" s="13"/>
      <c r="H155" s="13"/>
      <c r="I155" s="77"/>
    </row>
    <row r="156" spans="1:9" x14ac:dyDescent="0.25">
      <c r="A156" s="13"/>
      <c r="B156" s="13"/>
      <c r="C156" s="13"/>
      <c r="D156" s="13"/>
      <c r="E156" s="13"/>
      <c r="F156" s="13"/>
      <c r="G156" s="13"/>
      <c r="H156" s="13"/>
      <c r="I156" s="89"/>
    </row>
    <row r="157" spans="1:9" x14ac:dyDescent="0.25">
      <c r="A157" s="83">
        <v>1</v>
      </c>
      <c r="B157" s="565" t="s">
        <v>164</v>
      </c>
      <c r="C157" s="565"/>
      <c r="D157" s="565"/>
      <c r="E157" s="565"/>
      <c r="I157" s="89"/>
    </row>
    <row r="158" spans="1:9" x14ac:dyDescent="0.25">
      <c r="A158" s="544" t="s">
        <v>163</v>
      </c>
      <c r="B158" s="546"/>
      <c r="C158" s="72" t="s">
        <v>147</v>
      </c>
      <c r="D158" s="72" t="s">
        <v>148</v>
      </c>
      <c r="E158" s="72" t="s">
        <v>149</v>
      </c>
      <c r="F158" s="72" t="s">
        <v>150</v>
      </c>
      <c r="G158" s="72" t="s">
        <v>151</v>
      </c>
      <c r="H158" s="72" t="s">
        <v>152</v>
      </c>
      <c r="I158" s="89"/>
    </row>
    <row r="159" spans="1:9" x14ac:dyDescent="0.25">
      <c r="A159" s="545"/>
      <c r="B159" s="547"/>
      <c r="C159" s="567" t="s">
        <v>175</v>
      </c>
      <c r="D159" s="567"/>
      <c r="E159" s="567"/>
      <c r="F159" s="567"/>
      <c r="G159" s="567"/>
      <c r="H159" s="567"/>
      <c r="I159" s="89"/>
    </row>
    <row r="160" spans="1:9" x14ac:dyDescent="0.25">
      <c r="A160" s="88">
        <v>1</v>
      </c>
      <c r="B160" s="88"/>
      <c r="C160" s="92">
        <f>C150*$B150</f>
        <v>879</v>
      </c>
      <c r="D160" s="92">
        <f t="shared" ref="D160:H164" si="7">D150*$B150</f>
        <v>3354</v>
      </c>
      <c r="E160" s="92">
        <f t="shared" si="7"/>
        <v>1747.5</v>
      </c>
      <c r="F160" s="92">
        <f t="shared" si="7"/>
        <v>132</v>
      </c>
      <c r="G160" s="92">
        <f t="shared" si="7"/>
        <v>132</v>
      </c>
      <c r="H160" s="92">
        <f t="shared" si="7"/>
        <v>0</v>
      </c>
      <c r="I160" s="89"/>
    </row>
    <row r="161" spans="1:9" x14ac:dyDescent="0.25">
      <c r="A161" s="88">
        <v>2</v>
      </c>
      <c r="B161" s="88"/>
      <c r="C161" s="92">
        <f>C151*$B151</f>
        <v>78</v>
      </c>
      <c r="D161" s="92">
        <f t="shared" si="7"/>
        <v>2756</v>
      </c>
      <c r="E161" s="92">
        <f t="shared" si="7"/>
        <v>1356</v>
      </c>
      <c r="F161" s="92">
        <f t="shared" si="7"/>
        <v>34</v>
      </c>
      <c r="G161" s="92">
        <f t="shared" si="7"/>
        <v>50</v>
      </c>
      <c r="H161" s="92">
        <f t="shared" si="7"/>
        <v>0</v>
      </c>
      <c r="I161" s="89"/>
    </row>
    <row r="162" spans="1:9" x14ac:dyDescent="0.25">
      <c r="A162" s="88">
        <v>3</v>
      </c>
      <c r="B162" s="88"/>
      <c r="C162" s="92">
        <f>C152*$B152</f>
        <v>555</v>
      </c>
      <c r="D162" s="92">
        <f t="shared" si="7"/>
        <v>4632.5</v>
      </c>
      <c r="E162" s="92">
        <f t="shared" si="7"/>
        <v>4385</v>
      </c>
      <c r="F162" s="92">
        <f t="shared" si="7"/>
        <v>62.5</v>
      </c>
      <c r="G162" s="92">
        <f t="shared" si="7"/>
        <v>132.5</v>
      </c>
      <c r="H162" s="92">
        <f t="shared" si="7"/>
        <v>0</v>
      </c>
      <c r="I162" s="89"/>
    </row>
    <row r="163" spans="1:9" x14ac:dyDescent="0.25">
      <c r="A163" s="88">
        <v>4</v>
      </c>
      <c r="B163" s="88"/>
      <c r="C163" s="92">
        <f>C153*$B153</f>
        <v>313.2</v>
      </c>
      <c r="D163" s="92">
        <f t="shared" si="7"/>
        <v>944.4</v>
      </c>
      <c r="E163" s="92">
        <f t="shared" si="7"/>
        <v>998.4</v>
      </c>
      <c r="F163" s="92">
        <f t="shared" si="7"/>
        <v>0</v>
      </c>
      <c r="G163" s="92">
        <f t="shared" si="7"/>
        <v>0</v>
      </c>
      <c r="H163" s="92">
        <f t="shared" si="7"/>
        <v>0</v>
      </c>
      <c r="I163" s="89"/>
    </row>
    <row r="164" spans="1:9" x14ac:dyDescent="0.25">
      <c r="A164" s="88">
        <v>5</v>
      </c>
      <c r="B164" s="88"/>
      <c r="C164" s="92">
        <f>C154*$B154</f>
        <v>148.79999999999998</v>
      </c>
      <c r="D164" s="92">
        <f t="shared" si="7"/>
        <v>222</v>
      </c>
      <c r="E164" s="92">
        <f t="shared" si="7"/>
        <v>90</v>
      </c>
      <c r="F164" s="92">
        <f t="shared" si="7"/>
        <v>26.4</v>
      </c>
      <c r="G164" s="92">
        <f t="shared" si="7"/>
        <v>18</v>
      </c>
      <c r="H164" s="92">
        <f t="shared" si="7"/>
        <v>0</v>
      </c>
      <c r="I164" s="89"/>
    </row>
    <row r="165" spans="1:9" x14ac:dyDescent="0.25">
      <c r="A165" s="91" t="s">
        <v>173</v>
      </c>
      <c r="B165" s="13"/>
      <c r="C165" s="13"/>
      <c r="D165" s="13"/>
      <c r="E165" s="13"/>
      <c r="F165" s="13"/>
      <c r="G165" s="13"/>
      <c r="H165" s="13"/>
      <c r="I165" s="89"/>
    </row>
    <row r="166" spans="1:9" x14ac:dyDescent="0.25">
      <c r="A166" s="13"/>
      <c r="B166" s="20" t="s">
        <v>3</v>
      </c>
      <c r="C166" s="20">
        <f t="shared" ref="C166:H166" si="8">SUM(C160:C164)</f>
        <v>1974</v>
      </c>
      <c r="D166" s="20">
        <f t="shared" si="8"/>
        <v>11908.9</v>
      </c>
      <c r="E166" s="20">
        <f t="shared" si="8"/>
        <v>8576.9</v>
      </c>
      <c r="F166" s="20">
        <f t="shared" si="8"/>
        <v>254.9</v>
      </c>
      <c r="G166" s="20">
        <f t="shared" si="8"/>
        <v>332.5</v>
      </c>
      <c r="H166" s="20">
        <f t="shared" si="8"/>
        <v>0</v>
      </c>
      <c r="I166" s="89"/>
    </row>
    <row r="167" spans="1:9" x14ac:dyDescent="0.25">
      <c r="A167" s="13"/>
      <c r="B167" s="20"/>
      <c r="C167" s="20"/>
      <c r="D167" s="20"/>
      <c r="E167" s="20"/>
      <c r="F167" s="20"/>
      <c r="G167" s="20"/>
      <c r="H167" s="20"/>
      <c r="I167" s="89"/>
    </row>
    <row r="168" spans="1:9" x14ac:dyDescent="0.25">
      <c r="I168" s="77"/>
    </row>
    <row r="169" spans="1:9" x14ac:dyDescent="0.25">
      <c r="A169" s="83">
        <v>2</v>
      </c>
      <c r="B169" s="568" t="s">
        <v>180</v>
      </c>
      <c r="C169" s="568"/>
      <c r="D169" s="568"/>
      <c r="E169" s="568"/>
      <c r="G169" s="566" t="s">
        <v>172</v>
      </c>
      <c r="H169" s="566"/>
      <c r="I169" s="566"/>
    </row>
    <row r="170" spans="1:9" x14ac:dyDescent="0.25">
      <c r="A170" s="97"/>
      <c r="B170" s="97"/>
      <c r="C170" s="72" t="s">
        <v>147</v>
      </c>
      <c r="D170" s="72" t="s">
        <v>148</v>
      </c>
      <c r="E170" s="72" t="s">
        <v>149</v>
      </c>
      <c r="F170" s="72" t="s">
        <v>150</v>
      </c>
      <c r="G170" s="72" t="s">
        <v>151</v>
      </c>
      <c r="H170" s="72" t="s">
        <v>152</v>
      </c>
      <c r="I170" s="183"/>
    </row>
    <row r="171" spans="1:9" x14ac:dyDescent="0.25">
      <c r="A171" t="s">
        <v>73</v>
      </c>
      <c r="B171" s="2" t="s">
        <v>165</v>
      </c>
      <c r="C171" s="2">
        <f>C166*$D34/100</f>
        <v>1974</v>
      </c>
      <c r="D171" s="2">
        <f>D166*$D35/100</f>
        <v>11313.455</v>
      </c>
      <c r="E171" s="2">
        <f>E166*$D36/100</f>
        <v>7719.21</v>
      </c>
      <c r="F171" s="93"/>
      <c r="G171" s="2">
        <f>G166*$D38/100</f>
        <v>33.25</v>
      </c>
      <c r="H171" s="93"/>
      <c r="I171" s="77"/>
    </row>
    <row r="172" spans="1:9" x14ac:dyDescent="0.25">
      <c r="B172" s="2" t="s">
        <v>69</v>
      </c>
      <c r="C172" s="93"/>
      <c r="D172" s="93"/>
      <c r="E172" s="2">
        <f>E166*$E36/100</f>
        <v>857.69</v>
      </c>
      <c r="F172" s="2">
        <f>F166*$E37/100</f>
        <v>254.9</v>
      </c>
      <c r="G172" s="2">
        <f>G166*$E38/100</f>
        <v>299.25</v>
      </c>
      <c r="H172" s="2">
        <f>H166*$E39/100</f>
        <v>0</v>
      </c>
      <c r="I172" s="77"/>
    </row>
    <row r="173" spans="1:9" x14ac:dyDescent="0.25">
      <c r="B173" s="2" t="s">
        <v>70</v>
      </c>
      <c r="C173" s="93"/>
      <c r="D173" s="2">
        <f>D166*$F35/100</f>
        <v>595.44500000000005</v>
      </c>
      <c r="E173" s="93"/>
      <c r="F173" s="93"/>
      <c r="G173" s="93"/>
      <c r="H173" s="93"/>
      <c r="I173" s="77"/>
    </row>
    <row r="174" spans="1:9" x14ac:dyDescent="0.25">
      <c r="B174" s="16" t="s">
        <v>177</v>
      </c>
      <c r="C174" s="16">
        <f t="shared" ref="C174:H174" si="9">SUM(C171:C173)</f>
        <v>1974</v>
      </c>
      <c r="D174" s="16">
        <f t="shared" si="9"/>
        <v>11908.9</v>
      </c>
      <c r="E174" s="16">
        <f t="shared" si="9"/>
        <v>8576.9</v>
      </c>
      <c r="F174" s="16">
        <f t="shared" si="9"/>
        <v>254.9</v>
      </c>
      <c r="G174" s="16">
        <f t="shared" si="9"/>
        <v>332.5</v>
      </c>
      <c r="H174" s="16">
        <f t="shared" si="9"/>
        <v>0</v>
      </c>
      <c r="I174" s="77"/>
    </row>
    <row r="175" spans="1:9" x14ac:dyDescent="0.25">
      <c r="I175" s="77"/>
    </row>
    <row r="176" spans="1:9" ht="48.75" customHeight="1" x14ac:dyDescent="0.25">
      <c r="A176" s="83">
        <v>3</v>
      </c>
      <c r="B176" s="565" t="s">
        <v>179</v>
      </c>
      <c r="C176" s="565"/>
      <c r="D176" s="565"/>
      <c r="E176" s="565"/>
      <c r="G176" s="566" t="s">
        <v>172</v>
      </c>
      <c r="H176" s="566"/>
      <c r="I176" s="566"/>
    </row>
    <row r="177" spans="1:9" ht="15" customHeight="1" x14ac:dyDescent="0.25">
      <c r="A177" s="83"/>
      <c r="B177" s="184"/>
      <c r="C177" s="72" t="s">
        <v>147</v>
      </c>
      <c r="D177" s="72" t="s">
        <v>148</v>
      </c>
      <c r="E177" s="72" t="s">
        <v>149</v>
      </c>
      <c r="F177" s="72" t="s">
        <v>150</v>
      </c>
      <c r="G177" s="72" t="s">
        <v>151</v>
      </c>
      <c r="H177" s="72" t="s">
        <v>152</v>
      </c>
      <c r="I177" s="183"/>
    </row>
    <row r="178" spans="1:9" ht="51" x14ac:dyDescent="0.25">
      <c r="A178" t="s">
        <v>178</v>
      </c>
      <c r="B178" t="s">
        <v>166</v>
      </c>
      <c r="C178" s="84" t="s">
        <v>167</v>
      </c>
      <c r="D178" s="85" t="s">
        <v>169</v>
      </c>
      <c r="E178" s="86" t="s">
        <v>171</v>
      </c>
      <c r="F178" s="94"/>
      <c r="G178" s="86" t="s">
        <v>171</v>
      </c>
      <c r="H178" s="94"/>
      <c r="I178" s="77"/>
    </row>
    <row r="179" spans="1:9" x14ac:dyDescent="0.25">
      <c r="C179" s="84">
        <f>C174*$K43/100</f>
        <v>493.5</v>
      </c>
      <c r="D179" s="98">
        <f>D174*$H44/100</f>
        <v>5954.45</v>
      </c>
      <c r="E179" s="86">
        <f>E174*E45/100</f>
        <v>8576.9</v>
      </c>
      <c r="F179" s="94"/>
      <c r="G179" s="86">
        <f>G174*E47/100</f>
        <v>332.5</v>
      </c>
      <c r="H179" s="94"/>
      <c r="I179" s="77"/>
    </row>
    <row r="180" spans="1:9" ht="51" x14ac:dyDescent="0.25">
      <c r="C180" s="84" t="s">
        <v>168</v>
      </c>
      <c r="D180" s="85" t="s">
        <v>170</v>
      </c>
      <c r="E180" s="94"/>
      <c r="F180" s="94"/>
      <c r="G180" s="94"/>
      <c r="H180" s="94"/>
      <c r="I180" s="77"/>
    </row>
    <row r="181" spans="1:9" x14ac:dyDescent="0.25">
      <c r="C181" s="84">
        <f>C174*$L43/100</f>
        <v>1480.5</v>
      </c>
      <c r="D181" s="85">
        <f>D174*$I44/100</f>
        <v>5954.45</v>
      </c>
      <c r="E181" s="94"/>
      <c r="F181" s="94"/>
      <c r="G181" s="94"/>
      <c r="H181" s="94"/>
      <c r="I181" s="77"/>
    </row>
    <row r="182" spans="1:9" ht="26.25" x14ac:dyDescent="0.25">
      <c r="B182" t="s">
        <v>69</v>
      </c>
      <c r="C182" s="94"/>
      <c r="D182" s="94"/>
      <c r="E182" s="87" t="s">
        <v>171</v>
      </c>
      <c r="F182" s="87" t="s">
        <v>171</v>
      </c>
      <c r="G182" s="87" t="s">
        <v>171</v>
      </c>
      <c r="H182" s="87" t="s">
        <v>171</v>
      </c>
      <c r="I182" s="77"/>
    </row>
    <row r="183" spans="1:9" x14ac:dyDescent="0.25">
      <c r="C183" s="94"/>
      <c r="D183" s="94"/>
      <c r="E183" s="87">
        <f>E174*$D53/100</f>
        <v>8576.9</v>
      </c>
      <c r="F183" s="87">
        <f>F174*$D54/100</f>
        <v>254.9</v>
      </c>
      <c r="G183" s="87">
        <f>G174*$D55/100</f>
        <v>332.5</v>
      </c>
      <c r="H183" s="87">
        <f>H174*$D56/100</f>
        <v>0</v>
      </c>
      <c r="I183" s="77"/>
    </row>
    <row r="184" spans="1:9" ht="26.25" x14ac:dyDescent="0.25">
      <c r="B184" t="s">
        <v>70</v>
      </c>
      <c r="C184" s="112"/>
      <c r="D184" s="87" t="s">
        <v>206</v>
      </c>
      <c r="E184" s="112"/>
      <c r="F184" s="112"/>
      <c r="G184" s="112"/>
      <c r="H184" s="112"/>
      <c r="I184" s="77"/>
    </row>
    <row r="185" spans="1:9" x14ac:dyDescent="0.25">
      <c r="C185" s="112"/>
      <c r="D185" s="87">
        <f>D173*$D61/100</f>
        <v>297.72250000000003</v>
      </c>
      <c r="E185" s="112"/>
      <c r="F185" s="112"/>
      <c r="G185" s="112"/>
      <c r="H185" s="112"/>
      <c r="I185" s="77"/>
    </row>
    <row r="186" spans="1:9" ht="26.25" x14ac:dyDescent="0.25">
      <c r="C186" s="112"/>
      <c r="D186" s="87" t="s">
        <v>207</v>
      </c>
      <c r="E186" s="112"/>
      <c r="F186" s="112"/>
      <c r="G186" s="112"/>
      <c r="H186" s="112"/>
      <c r="I186" s="77"/>
    </row>
    <row r="187" spans="1:9" x14ac:dyDescent="0.25">
      <c r="C187" s="112"/>
      <c r="D187" s="87">
        <f>D173*$E61/100</f>
        <v>297.72250000000003</v>
      </c>
      <c r="E187" s="112"/>
      <c r="F187" s="112"/>
      <c r="G187" s="112"/>
      <c r="H187" s="112"/>
      <c r="I187" s="77"/>
    </row>
    <row r="188" spans="1:9" x14ac:dyDescent="0.25">
      <c r="I188" s="77"/>
    </row>
    <row r="189" spans="1:9" ht="34.5" customHeight="1" x14ac:dyDescent="0.25">
      <c r="A189" s="83">
        <v>4</v>
      </c>
      <c r="B189" s="565" t="s">
        <v>181</v>
      </c>
      <c r="C189" s="565"/>
      <c r="D189" s="565"/>
      <c r="E189" s="565"/>
      <c r="I189" s="77"/>
    </row>
    <row r="190" spans="1:9" x14ac:dyDescent="0.25">
      <c r="A190" s="83"/>
      <c r="B190" s="184"/>
      <c r="C190" s="72" t="s">
        <v>147</v>
      </c>
      <c r="D190" s="72" t="s">
        <v>148</v>
      </c>
      <c r="E190" s="72" t="s">
        <v>149</v>
      </c>
      <c r="F190" s="72" t="s">
        <v>150</v>
      </c>
      <c r="G190" s="72" t="s">
        <v>151</v>
      </c>
      <c r="H190" s="72" t="s">
        <v>152</v>
      </c>
      <c r="I190" s="77"/>
    </row>
    <row r="191" spans="1:9" ht="51" x14ac:dyDescent="0.25">
      <c r="A191" t="s">
        <v>178</v>
      </c>
      <c r="B191" t="s">
        <v>166</v>
      </c>
      <c r="C191" s="84" t="s">
        <v>167</v>
      </c>
      <c r="D191" s="85" t="s">
        <v>169</v>
      </c>
      <c r="E191" s="86" t="s">
        <v>171</v>
      </c>
      <c r="F191" s="94"/>
      <c r="G191" s="86" t="s">
        <v>171</v>
      </c>
      <c r="H191" s="94"/>
      <c r="I191" s="77"/>
    </row>
    <row r="192" spans="1:9" x14ac:dyDescent="0.25">
      <c r="C192" s="84">
        <f>C179*$E$17</f>
        <v>48757.799999999996</v>
      </c>
      <c r="D192" s="98">
        <f>D179*$E$19</f>
        <v>1149208.8499999999</v>
      </c>
      <c r="E192" s="86">
        <f>E179*$E$23</f>
        <v>2821800.1</v>
      </c>
      <c r="F192" s="94"/>
      <c r="G192" s="86">
        <f>G179*$E$26</f>
        <v>109392.5</v>
      </c>
      <c r="H192" s="94"/>
      <c r="I192" s="77"/>
    </row>
    <row r="193" spans="1:9" ht="51" x14ac:dyDescent="0.25">
      <c r="C193" s="84" t="s">
        <v>168</v>
      </c>
      <c r="D193" s="85" t="s">
        <v>170</v>
      </c>
      <c r="E193" s="94"/>
      <c r="F193" s="94"/>
      <c r="G193" s="94"/>
      <c r="H193" s="94"/>
      <c r="I193" s="77"/>
    </row>
    <row r="194" spans="1:9" ht="15.75" thickBot="1" x14ac:dyDescent="0.3">
      <c r="C194" s="115">
        <f>C181*$E$18</f>
        <v>185062.5</v>
      </c>
      <c r="D194" s="116">
        <f>D181*$E$20</f>
        <v>1315933.45</v>
      </c>
      <c r="E194" s="94"/>
      <c r="F194" s="94"/>
      <c r="G194" s="94"/>
      <c r="H194" s="94"/>
      <c r="I194" s="77"/>
    </row>
    <row r="195" spans="1:9" ht="39.75" thickBot="1" x14ac:dyDescent="0.3">
      <c r="B195" s="122" t="s">
        <v>197</v>
      </c>
      <c r="C195" s="119">
        <f>C192+C194</f>
        <v>233820.3</v>
      </c>
      <c r="D195" s="120">
        <f>D192+D194</f>
        <v>2465142.2999999998</v>
      </c>
      <c r="E195" s="123">
        <f>E192</f>
        <v>2821800.1</v>
      </c>
      <c r="F195" s="124"/>
      <c r="G195" s="123">
        <f>G192</f>
        <v>109392.5</v>
      </c>
      <c r="H195" s="125"/>
      <c r="I195" s="77"/>
    </row>
    <row r="196" spans="1:9" ht="26.25" x14ac:dyDescent="0.25">
      <c r="B196" t="s">
        <v>69</v>
      </c>
      <c r="C196" s="94"/>
      <c r="D196" s="94"/>
      <c r="E196" s="117" t="s">
        <v>171</v>
      </c>
      <c r="F196" s="117" t="s">
        <v>171</v>
      </c>
      <c r="G196" s="117" t="s">
        <v>171</v>
      </c>
      <c r="H196" s="117" t="s">
        <v>171</v>
      </c>
      <c r="I196" s="77"/>
    </row>
    <row r="197" spans="1:9" ht="15.75" thickBot="1" x14ac:dyDescent="0.3">
      <c r="C197" s="94"/>
      <c r="D197" s="94"/>
      <c r="E197" s="118">
        <f>E183*$E$24</f>
        <v>2452993.4</v>
      </c>
      <c r="F197" s="118">
        <f>F183*$E$25</f>
        <v>199076.9</v>
      </c>
      <c r="G197" s="118">
        <f>G183*$E$27</f>
        <v>95095</v>
      </c>
      <c r="H197" s="118">
        <f>H183*$E$28</f>
        <v>0</v>
      </c>
      <c r="I197" s="77"/>
    </row>
    <row r="198" spans="1:9" ht="39.75" thickBot="1" x14ac:dyDescent="0.3">
      <c r="B198" s="122" t="s">
        <v>198</v>
      </c>
      <c r="C198" s="126"/>
      <c r="D198" s="127"/>
      <c r="E198" s="128">
        <f>E197</f>
        <v>2452993.4</v>
      </c>
      <c r="F198" s="128">
        <f>F197</f>
        <v>199076.9</v>
      </c>
      <c r="G198" s="128">
        <f>G192+G197</f>
        <v>204487.5</v>
      </c>
      <c r="H198" s="129">
        <f>H197</f>
        <v>0</v>
      </c>
      <c r="I198" s="77"/>
    </row>
    <row r="199" spans="1:9" ht="26.25" x14ac:dyDescent="0.25">
      <c r="B199" t="s">
        <v>70</v>
      </c>
      <c r="C199" s="112"/>
      <c r="D199" s="117" t="s">
        <v>206</v>
      </c>
      <c r="E199" s="112"/>
      <c r="F199" s="112"/>
      <c r="G199" s="112"/>
      <c r="H199" s="112"/>
      <c r="I199" s="77"/>
    </row>
    <row r="200" spans="1:9" x14ac:dyDescent="0.25">
      <c r="C200" s="112"/>
      <c r="D200" s="114">
        <f>D185*$E$21</f>
        <v>112836.82750000001</v>
      </c>
      <c r="E200" s="112"/>
      <c r="F200" s="112"/>
      <c r="G200" s="112"/>
      <c r="H200" s="112"/>
      <c r="I200" s="77"/>
    </row>
    <row r="201" spans="1:9" ht="26.25" x14ac:dyDescent="0.25">
      <c r="C201" s="112"/>
      <c r="D201" s="87" t="s">
        <v>207</v>
      </c>
      <c r="E201" s="112"/>
      <c r="F201" s="112"/>
      <c r="G201" s="112"/>
      <c r="H201" s="112"/>
      <c r="I201" s="77"/>
    </row>
    <row r="202" spans="1:9" ht="15.75" thickBot="1" x14ac:dyDescent="0.3">
      <c r="C202" s="112"/>
      <c r="D202" s="121">
        <f>D187*$E$22</f>
        <v>44062.93</v>
      </c>
      <c r="E202" s="112"/>
      <c r="F202" s="112"/>
      <c r="G202" s="112"/>
      <c r="H202" s="112"/>
      <c r="I202" s="77"/>
    </row>
    <row r="203" spans="1:9" ht="39.75" thickBot="1" x14ac:dyDescent="0.3">
      <c r="B203" s="122" t="s">
        <v>210</v>
      </c>
      <c r="C203" s="130"/>
      <c r="D203" s="132">
        <f>D200+D202</f>
        <v>156899.75750000001</v>
      </c>
      <c r="E203" s="131"/>
      <c r="F203" s="131"/>
      <c r="G203" s="131"/>
      <c r="H203" s="133"/>
      <c r="I203" s="77"/>
    </row>
    <row r="204" spans="1:9" ht="15.75" thickBot="1" x14ac:dyDescent="0.3">
      <c r="A204" s="101"/>
      <c r="B204" s="101"/>
      <c r="C204" s="101"/>
      <c r="D204" s="101"/>
      <c r="E204" s="101"/>
      <c r="F204" s="101"/>
      <c r="G204" s="101"/>
      <c r="H204" s="101"/>
      <c r="I204" s="105"/>
    </row>
    <row r="205" spans="1:9" ht="15" customHeight="1" x14ac:dyDescent="0.25">
      <c r="A205" s="153"/>
      <c r="B205" s="153"/>
      <c r="C205" s="153"/>
      <c r="D205" s="153"/>
      <c r="E205" s="153"/>
      <c r="F205" s="153"/>
      <c r="G205" s="153"/>
      <c r="H205" s="153"/>
      <c r="I205" s="154"/>
    </row>
    <row r="206" spans="1:9" ht="15" customHeight="1" x14ac:dyDescent="0.25">
      <c r="I206" s="77"/>
    </row>
    <row r="207" spans="1:9" x14ac:dyDescent="0.25">
      <c r="I207" s="77"/>
    </row>
    <row r="229" ht="15" customHeight="1" x14ac:dyDescent="0.25"/>
  </sheetData>
  <protectedRanges>
    <protectedRange sqref="D34 D35:F35 D36:E36 E37 D38:E38 D39:F39" name="Vehicle Fleet Characteristics_1"/>
  </protectedRanges>
  <mergeCells count="63">
    <mergeCell ref="B176:E176"/>
    <mergeCell ref="G176:I176"/>
    <mergeCell ref="B189:E189"/>
    <mergeCell ref="B157:E157"/>
    <mergeCell ref="A158:A159"/>
    <mergeCell ref="B158:B159"/>
    <mergeCell ref="C159:H159"/>
    <mergeCell ref="B169:E169"/>
    <mergeCell ref="G169:I169"/>
    <mergeCell ref="A148:A149"/>
    <mergeCell ref="B148:B149"/>
    <mergeCell ref="C149:H149"/>
    <mergeCell ref="A123:C125"/>
    <mergeCell ref="D123:F125"/>
    <mergeCell ref="G123:I125"/>
    <mergeCell ref="A126:C126"/>
    <mergeCell ref="D126:F126"/>
    <mergeCell ref="G126:I126"/>
    <mergeCell ref="A127:C127"/>
    <mergeCell ref="D127:F127"/>
    <mergeCell ref="G127:I127"/>
    <mergeCell ref="A131:F131"/>
    <mergeCell ref="B147:E147"/>
    <mergeCell ref="A97:F97"/>
    <mergeCell ref="H98:H100"/>
    <mergeCell ref="I98:I100"/>
    <mergeCell ref="A122:C122"/>
    <mergeCell ref="D122:F122"/>
    <mergeCell ref="G122:I122"/>
    <mergeCell ref="C15:D15"/>
    <mergeCell ref="F15:G15"/>
    <mergeCell ref="H15:I15"/>
    <mergeCell ref="C16:D16"/>
    <mergeCell ref="F16:G16"/>
    <mergeCell ref="H16:I16"/>
    <mergeCell ref="C13:D13"/>
    <mergeCell ref="F13:G13"/>
    <mergeCell ref="H13:I13"/>
    <mergeCell ref="C14:D14"/>
    <mergeCell ref="F14:G14"/>
    <mergeCell ref="H14:I14"/>
    <mergeCell ref="C12:D12"/>
    <mergeCell ref="F12:G12"/>
    <mergeCell ref="H12:I12"/>
    <mergeCell ref="A6:C6"/>
    <mergeCell ref="D6:I6"/>
    <mergeCell ref="A7:C7"/>
    <mergeCell ref="D7:I7"/>
    <mergeCell ref="A9:B9"/>
    <mergeCell ref="E9:F9"/>
    <mergeCell ref="G9:I9"/>
    <mergeCell ref="A10:B10"/>
    <mergeCell ref="C10:I10"/>
    <mergeCell ref="C11:D11"/>
    <mergeCell ref="F11:G11"/>
    <mergeCell ref="H11:I11"/>
    <mergeCell ref="A5:C5"/>
    <mergeCell ref="D5:I5"/>
    <mergeCell ref="A1:I1"/>
    <mergeCell ref="A3:C3"/>
    <mergeCell ref="D3:I3"/>
    <mergeCell ref="A4:C4"/>
    <mergeCell ref="D4:I4"/>
  </mergeCells>
  <pageMargins left="0.7" right="0.7" top="0.75" bottom="0.75" header="0.3" footer="0.3"/>
  <pageSetup paperSize="9" orientation="portrait" r:id="rId1"/>
  <headerFooter>
    <oddHeader>&amp;LMALAYSIAN GREEN TECHNOLOGY CORPORATION
LOW CARBON CITIES&amp;RMGTC/DC/REC/LCC-003
Version: 1.0 / JUNE 2019</oddHeader>
    <oddFooter>&amp;L
&amp;A&amp;R
Page &amp;P of &amp;N</oddFoot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2FCF2-6C65-47B0-91D7-2EB0262335A3}">
  <sheetPr>
    <tabColor rgb="FFFF0000"/>
  </sheetPr>
  <dimension ref="A1:I46"/>
  <sheetViews>
    <sheetView view="pageLayout" zoomScale="85" zoomScaleNormal="100" zoomScalePageLayoutView="85" workbookViewId="0">
      <selection activeCell="F19" sqref="F19"/>
    </sheetView>
  </sheetViews>
  <sheetFormatPr defaultRowHeight="15" x14ac:dyDescent="0.25"/>
  <cols>
    <col min="4" max="9" width="11.42578125" customWidth="1"/>
  </cols>
  <sheetData>
    <row r="1" spans="1:9" ht="16.5" thickBot="1" x14ac:dyDescent="0.3">
      <c r="A1" s="475" t="s">
        <v>136</v>
      </c>
      <c r="B1" s="476"/>
      <c r="C1" s="476"/>
      <c r="D1" s="476"/>
      <c r="E1" s="476"/>
      <c r="F1" s="476"/>
      <c r="G1" s="476"/>
      <c r="H1" s="476"/>
      <c r="I1" s="477"/>
    </row>
    <row r="3" spans="1:9" s="297" customFormat="1" x14ac:dyDescent="0.25">
      <c r="A3" s="470" t="s">
        <v>27</v>
      </c>
      <c r="B3" s="470"/>
      <c r="C3" s="470"/>
      <c r="D3" s="491" t="str">
        <f>'[3]Summary (Main)'!D11:H11</f>
        <v>LCC-P-B100-0X-000X</v>
      </c>
      <c r="E3" s="491"/>
      <c r="F3" s="491"/>
      <c r="G3" s="491"/>
      <c r="H3" s="491"/>
      <c r="I3" s="491"/>
    </row>
    <row r="4" spans="1:9" s="297" customFormat="1" x14ac:dyDescent="0.25">
      <c r="A4" s="470" t="s">
        <v>78</v>
      </c>
      <c r="B4" s="470"/>
      <c r="C4" s="470"/>
      <c r="D4" s="491" t="str">
        <f>'[3]Summary (Main)'!D12:H12</f>
        <v>MAJLIS DAERAH XX</v>
      </c>
      <c r="E4" s="491"/>
      <c r="F4" s="491"/>
      <c r="G4" s="491"/>
      <c r="H4" s="491"/>
      <c r="I4" s="491"/>
    </row>
    <row r="5" spans="1:9" s="297" customFormat="1" x14ac:dyDescent="0.25">
      <c r="A5" s="470" t="s">
        <v>0</v>
      </c>
      <c r="B5" s="470"/>
      <c r="C5" s="470"/>
      <c r="D5" s="491" t="str">
        <f>'[3]Summary (Main)'!D13:H13</f>
        <v>MAJLIS DAERAH XX</v>
      </c>
      <c r="E5" s="491"/>
      <c r="F5" s="491"/>
      <c r="G5" s="491"/>
      <c r="H5" s="491"/>
      <c r="I5" s="491"/>
    </row>
    <row r="6" spans="1:9" s="297" customFormat="1" x14ac:dyDescent="0.25">
      <c r="A6" s="470" t="s">
        <v>37</v>
      </c>
      <c r="B6" s="470"/>
      <c r="C6" s="470"/>
      <c r="D6" s="491" t="str">
        <f>'[3]Summary (Main)'!D14:H14</f>
        <v>MDXX HQ</v>
      </c>
      <c r="E6" s="491"/>
      <c r="F6" s="491"/>
      <c r="G6" s="491"/>
      <c r="H6" s="491"/>
      <c r="I6" s="491"/>
    </row>
    <row r="7" spans="1:9" s="297" customFormat="1" x14ac:dyDescent="0.25">
      <c r="A7" s="470" t="s">
        <v>29</v>
      </c>
      <c r="B7" s="470"/>
      <c r="C7" s="470"/>
      <c r="D7" s="491" t="str">
        <f>'[3]Summary (Main)'!D15:H15</f>
        <v>GOVERNMENT</v>
      </c>
      <c r="E7" s="491"/>
      <c r="F7" s="491"/>
      <c r="G7" s="491"/>
      <c r="H7" s="491"/>
      <c r="I7" s="491"/>
    </row>
    <row r="8" spans="1:9" x14ac:dyDescent="0.25">
      <c r="A8" s="5"/>
      <c r="B8" s="5"/>
      <c r="C8" s="5"/>
    </row>
    <row r="9" spans="1:9" x14ac:dyDescent="0.25">
      <c r="A9" s="498" t="s">
        <v>7</v>
      </c>
      <c r="B9" s="498"/>
      <c r="C9" s="56" t="s">
        <v>8</v>
      </c>
      <c r="D9" s="3"/>
      <c r="E9" s="498" t="s">
        <v>12</v>
      </c>
      <c r="F9" s="498"/>
      <c r="G9" s="524" t="s">
        <v>60</v>
      </c>
      <c r="H9" s="524"/>
      <c r="I9" s="524"/>
    </row>
    <row r="10" spans="1:9" x14ac:dyDescent="0.25">
      <c r="A10" s="498" t="s">
        <v>6</v>
      </c>
      <c r="B10" s="498"/>
      <c r="C10" s="523" t="s">
        <v>247</v>
      </c>
      <c r="D10" s="523"/>
      <c r="E10" s="523"/>
      <c r="F10" s="523"/>
      <c r="G10" s="523"/>
      <c r="H10" s="523"/>
      <c r="I10" s="523"/>
    </row>
    <row r="11" spans="1:9" x14ac:dyDescent="0.25">
      <c r="A11" s="1" t="s">
        <v>9</v>
      </c>
      <c r="C11" t="s">
        <v>61</v>
      </c>
      <c r="E11" s="13">
        <v>0.18368000000000001</v>
      </c>
      <c r="F11" s="522" t="s">
        <v>62</v>
      </c>
      <c r="G11" s="522"/>
      <c r="H11" s="524" t="s">
        <v>63</v>
      </c>
      <c r="I11" s="524"/>
    </row>
    <row r="12" spans="1:9" x14ac:dyDescent="0.25">
      <c r="C12" t="s">
        <v>64</v>
      </c>
      <c r="E12" s="13">
        <v>0.11529</v>
      </c>
      <c r="F12" s="522" t="s">
        <v>62</v>
      </c>
      <c r="G12" s="522"/>
      <c r="H12" s="524" t="s">
        <v>63</v>
      </c>
      <c r="I12" s="524"/>
    </row>
    <row r="13" spans="1:9" x14ac:dyDescent="0.25">
      <c r="C13" t="s">
        <v>65</v>
      </c>
      <c r="E13" s="13">
        <v>0.79100000000000004</v>
      </c>
      <c r="F13" s="522" t="s">
        <v>62</v>
      </c>
      <c r="G13" s="522"/>
      <c r="H13" s="524" t="s">
        <v>66</v>
      </c>
      <c r="I13" s="524"/>
    </row>
    <row r="15" spans="1:9" s="297" customFormat="1" x14ac:dyDescent="0.25">
      <c r="A15"/>
      <c r="B15"/>
      <c r="C15"/>
      <c r="D15"/>
      <c r="E15"/>
      <c r="F15"/>
      <c r="G15"/>
      <c r="H15"/>
      <c r="I15"/>
    </row>
    <row r="16" spans="1:9" s="297" customFormat="1" ht="15.75" thickBot="1" x14ac:dyDescent="0.3">
      <c r="A16" s="296" t="s">
        <v>249</v>
      </c>
    </row>
    <row r="17" spans="1:9" s="297" customFormat="1" ht="15.75" thickTop="1" x14ac:dyDescent="0.25">
      <c r="A17" s="370" t="s">
        <v>1</v>
      </c>
      <c r="B17" s="371" t="s">
        <v>248</v>
      </c>
      <c r="C17" s="73"/>
      <c r="D17" s="311">
        <f>'Summary (Main)'!C17</f>
        <v>2017</v>
      </c>
      <c r="E17" s="312">
        <f>D17+1</f>
        <v>2018</v>
      </c>
      <c r="F17" s="312">
        <f>E17+1</f>
        <v>2019</v>
      </c>
      <c r="G17" s="312">
        <f>F17+1</f>
        <v>2020</v>
      </c>
      <c r="H17" s="312">
        <f>G17+1</f>
        <v>2021</v>
      </c>
      <c r="I17" s="313">
        <f>H17+1</f>
        <v>2022</v>
      </c>
    </row>
    <row r="18" spans="1:9" s="297" customFormat="1" x14ac:dyDescent="0.25">
      <c r="A18" s="56">
        <v>1</v>
      </c>
      <c r="B18" s="503" t="s">
        <v>148</v>
      </c>
      <c r="C18" s="574"/>
      <c r="D18" s="331">
        <v>500</v>
      </c>
      <c r="E18" s="298">
        <v>455</v>
      </c>
      <c r="F18" s="299"/>
      <c r="G18" s="299"/>
      <c r="H18" s="299"/>
      <c r="I18" s="310"/>
    </row>
    <row r="19" spans="1:9" s="297" customFormat="1" x14ac:dyDescent="0.25">
      <c r="A19" s="56">
        <v>2</v>
      </c>
      <c r="B19" s="503" t="s">
        <v>147</v>
      </c>
      <c r="C19" s="574"/>
      <c r="D19" s="331">
        <v>555</v>
      </c>
      <c r="E19" s="298">
        <v>670</v>
      </c>
      <c r="F19" s="298"/>
      <c r="G19" s="299"/>
      <c r="H19" s="299"/>
      <c r="I19" s="310"/>
    </row>
    <row r="20" spans="1:9" s="297" customFormat="1" ht="15.75" thickBot="1" x14ac:dyDescent="0.3">
      <c r="A20" s="56">
        <v>3</v>
      </c>
      <c r="B20" s="503" t="s">
        <v>150</v>
      </c>
      <c r="C20" s="574"/>
      <c r="D20" s="332">
        <v>788</v>
      </c>
      <c r="E20" s="314">
        <v>770</v>
      </c>
      <c r="F20" s="314"/>
      <c r="G20" s="315"/>
      <c r="H20" s="315"/>
      <c r="I20" s="316"/>
    </row>
    <row r="21" spans="1:9" s="297" customFormat="1" ht="15.75" thickTop="1" x14ac:dyDescent="0.25"/>
    <row r="22" spans="1:9" s="297" customFormat="1" x14ac:dyDescent="0.25">
      <c r="A22" s="575" t="s">
        <v>274</v>
      </c>
      <c r="B22" s="575"/>
      <c r="C22" s="575"/>
      <c r="D22" s="575"/>
      <c r="E22" s="575"/>
      <c r="F22" s="575"/>
    </row>
    <row r="23" spans="1:9" s="297" customFormat="1" x14ac:dyDescent="0.25">
      <c r="A23" s="370" t="s">
        <v>1</v>
      </c>
      <c r="B23" s="562" t="s">
        <v>248</v>
      </c>
      <c r="C23" s="563"/>
      <c r="D23" s="386">
        <f>'Summary (Main)'!C17</f>
        <v>2017</v>
      </c>
      <c r="E23" s="387">
        <f>D23+1</f>
        <v>2018</v>
      </c>
      <c r="F23" s="387">
        <f>E23+1</f>
        <v>2019</v>
      </c>
      <c r="G23" s="387">
        <f>F23+1</f>
        <v>2020</v>
      </c>
      <c r="H23" s="387">
        <f>G23+1</f>
        <v>2021</v>
      </c>
      <c r="I23" s="387">
        <f>H23+1</f>
        <v>2022</v>
      </c>
    </row>
    <row r="24" spans="1:9" s="297" customFormat="1" x14ac:dyDescent="0.25">
      <c r="A24" s="56">
        <v>1</v>
      </c>
      <c r="B24" s="503" t="s">
        <v>148</v>
      </c>
      <c r="C24" s="510"/>
      <c r="D24" s="388">
        <f t="shared" ref="D24:I26" si="0">D18*$E11</f>
        <v>91.84</v>
      </c>
      <c r="E24" s="75">
        <f t="shared" si="0"/>
        <v>83.574400000000011</v>
      </c>
      <c r="F24" s="75">
        <f t="shared" si="0"/>
        <v>0</v>
      </c>
      <c r="G24" s="75">
        <f t="shared" si="0"/>
        <v>0</v>
      </c>
      <c r="H24" s="75">
        <f t="shared" si="0"/>
        <v>0</v>
      </c>
      <c r="I24" s="75">
        <f t="shared" si="0"/>
        <v>0</v>
      </c>
    </row>
    <row r="25" spans="1:9" s="297" customFormat="1" x14ac:dyDescent="0.25">
      <c r="A25" s="56">
        <v>2</v>
      </c>
      <c r="B25" s="503" t="s">
        <v>147</v>
      </c>
      <c r="C25" s="510"/>
      <c r="D25" s="388">
        <f t="shared" si="0"/>
        <v>63.985950000000003</v>
      </c>
      <c r="E25" s="75">
        <f t="shared" si="0"/>
        <v>77.244299999999996</v>
      </c>
      <c r="F25" s="75">
        <f t="shared" si="0"/>
        <v>0</v>
      </c>
      <c r="G25" s="75">
        <f t="shared" si="0"/>
        <v>0</v>
      </c>
      <c r="H25" s="75">
        <f t="shared" si="0"/>
        <v>0</v>
      </c>
      <c r="I25" s="75">
        <f t="shared" si="0"/>
        <v>0</v>
      </c>
    </row>
    <row r="26" spans="1:9" s="297" customFormat="1" x14ac:dyDescent="0.25">
      <c r="A26" s="56">
        <v>3</v>
      </c>
      <c r="B26" s="514" t="s">
        <v>150</v>
      </c>
      <c r="C26" s="515"/>
      <c r="D26" s="388">
        <f t="shared" si="0"/>
        <v>623.30799999999999</v>
      </c>
      <c r="E26" s="75">
        <f t="shared" si="0"/>
        <v>609.07000000000005</v>
      </c>
      <c r="F26" s="75">
        <f t="shared" si="0"/>
        <v>0</v>
      </c>
      <c r="G26" s="75">
        <f t="shared" si="0"/>
        <v>0</v>
      </c>
      <c r="H26" s="75">
        <f t="shared" si="0"/>
        <v>0</v>
      </c>
      <c r="I26" s="75">
        <f t="shared" si="0"/>
        <v>0</v>
      </c>
    </row>
    <row r="27" spans="1:9" s="297" customFormat="1" x14ac:dyDescent="0.25">
      <c r="A27" s="569" t="s">
        <v>3</v>
      </c>
      <c r="B27" s="570"/>
      <c r="C27" s="370" t="s">
        <v>128</v>
      </c>
      <c r="D27" s="372">
        <f t="shared" ref="D27:I27" si="1">SUM(D24:D26)</f>
        <v>779.13395000000003</v>
      </c>
      <c r="E27" s="373">
        <f t="shared" si="1"/>
        <v>769.88870000000009</v>
      </c>
      <c r="F27" s="373">
        <f t="shared" si="1"/>
        <v>0</v>
      </c>
      <c r="G27" s="373">
        <f t="shared" si="1"/>
        <v>0</v>
      </c>
      <c r="H27" s="373">
        <f t="shared" si="1"/>
        <v>0</v>
      </c>
      <c r="I27" s="373">
        <f t="shared" si="1"/>
        <v>0</v>
      </c>
    </row>
    <row r="28" spans="1:9" s="297" customFormat="1" x14ac:dyDescent="0.25">
      <c r="A28" s="571"/>
      <c r="B28" s="572"/>
      <c r="C28" s="370" t="s">
        <v>32</v>
      </c>
      <c r="D28" s="48">
        <f t="shared" ref="D28:I28" si="2">D27/1000</f>
        <v>0.77913395000000008</v>
      </c>
      <c r="E28" s="49">
        <f t="shared" si="2"/>
        <v>0.76988870000000009</v>
      </c>
      <c r="F28" s="49">
        <f t="shared" si="2"/>
        <v>0</v>
      </c>
      <c r="G28" s="49">
        <f t="shared" si="2"/>
        <v>0</v>
      </c>
      <c r="H28" s="49">
        <f t="shared" si="2"/>
        <v>0</v>
      </c>
      <c r="I28" s="49">
        <f t="shared" si="2"/>
        <v>0</v>
      </c>
    </row>
    <row r="29" spans="1:9" s="297" customFormat="1" hidden="1" x14ac:dyDescent="0.25">
      <c r="A29" s="503" t="s">
        <v>74</v>
      </c>
      <c r="B29" s="510"/>
      <c r="C29" s="56" t="s">
        <v>1</v>
      </c>
      <c r="D29" s="11"/>
      <c r="E29" s="333"/>
      <c r="F29" s="333"/>
      <c r="G29" s="333"/>
      <c r="H29" s="333"/>
      <c r="I29" s="333"/>
    </row>
    <row r="30" spans="1:9" s="297" customFormat="1" hidden="1" x14ac:dyDescent="0.25">
      <c r="A30" s="567" t="s">
        <v>75</v>
      </c>
      <c r="B30" s="567"/>
      <c r="C30" s="56" t="s">
        <v>76</v>
      </c>
      <c r="D30" s="374" t="e">
        <f t="shared" ref="D30:I30" si="3">SUM(D28)/D29</f>
        <v>#DIV/0!</v>
      </c>
      <c r="E30" s="375" t="e">
        <f t="shared" si="3"/>
        <v>#DIV/0!</v>
      </c>
      <c r="F30" s="375" t="e">
        <f t="shared" si="3"/>
        <v>#DIV/0!</v>
      </c>
      <c r="G30" s="375" t="e">
        <f t="shared" si="3"/>
        <v>#DIV/0!</v>
      </c>
      <c r="H30" s="375" t="e">
        <f t="shared" si="3"/>
        <v>#DIV/0!</v>
      </c>
      <c r="I30" s="375" t="e">
        <f t="shared" si="3"/>
        <v>#DIV/0!</v>
      </c>
    </row>
    <row r="31" spans="1:9" s="297" customFormat="1" x14ac:dyDescent="0.25">
      <c r="A31" s="573" t="s">
        <v>39</v>
      </c>
      <c r="B31" s="573"/>
      <c r="C31" s="56" t="s">
        <v>40</v>
      </c>
      <c r="D31" s="11"/>
      <c r="E31" s="376">
        <f>(E27-$D$27)/$D$27</f>
        <v>-1.1866059744925685E-2</v>
      </c>
      <c r="F31" s="376">
        <f>(F27-$D$27)/$D$27</f>
        <v>-1</v>
      </c>
      <c r="G31" s="376">
        <f>(G27-$D$27)/$D$27</f>
        <v>-1</v>
      </c>
      <c r="H31" s="376">
        <f>(H27-$D$27)/$D$27</f>
        <v>-1</v>
      </c>
      <c r="I31" s="376">
        <f>(I27-$D$27)/$D$27</f>
        <v>-1</v>
      </c>
    </row>
    <row r="32" spans="1:9" s="297" customFormat="1" x14ac:dyDescent="0.25">
      <c r="A32"/>
      <c r="B32"/>
      <c r="C32"/>
      <c r="D32"/>
      <c r="E32"/>
      <c r="F32"/>
      <c r="G32"/>
      <c r="H32"/>
      <c r="I32"/>
    </row>
    <row r="33" spans="1:9" s="297" customFormat="1" x14ac:dyDescent="0.25">
      <c r="A33" s="1"/>
      <c r="B33"/>
      <c r="C33"/>
      <c r="D33"/>
      <c r="E33"/>
      <c r="F33"/>
      <c r="G33"/>
      <c r="H33"/>
      <c r="I33"/>
    </row>
    <row r="34" spans="1:9" s="297" customFormat="1" x14ac:dyDescent="0.25">
      <c r="A34"/>
      <c r="B34"/>
      <c r="C34"/>
      <c r="D34"/>
      <c r="E34"/>
      <c r="F34"/>
      <c r="G34"/>
      <c r="H34"/>
      <c r="I34"/>
    </row>
    <row r="35" spans="1:9" s="297" customFormat="1" x14ac:dyDescent="0.25">
      <c r="A35"/>
      <c r="B35"/>
      <c r="C35"/>
      <c r="D35"/>
      <c r="E35"/>
      <c r="F35"/>
      <c r="G35"/>
      <c r="H35"/>
      <c r="I35"/>
    </row>
    <row r="36" spans="1:9" s="297" customFormat="1" x14ac:dyDescent="0.25">
      <c r="A36"/>
      <c r="B36"/>
      <c r="C36"/>
      <c r="D36"/>
      <c r="E36"/>
      <c r="F36"/>
      <c r="G36"/>
      <c r="H36"/>
      <c r="I36"/>
    </row>
    <row r="37" spans="1:9" s="297" customFormat="1" x14ac:dyDescent="0.25">
      <c r="A37"/>
      <c r="B37"/>
      <c r="C37"/>
      <c r="D37"/>
      <c r="E37"/>
      <c r="F37"/>
      <c r="G37"/>
      <c r="H37"/>
      <c r="I37"/>
    </row>
    <row r="38" spans="1:9" s="297" customFormat="1" x14ac:dyDescent="0.25">
      <c r="A38"/>
      <c r="B38"/>
      <c r="C38"/>
      <c r="D38"/>
      <c r="E38"/>
      <c r="F38"/>
      <c r="G38"/>
      <c r="H38"/>
      <c r="I38"/>
    </row>
    <row r="39" spans="1:9" s="297" customFormat="1" x14ac:dyDescent="0.25">
      <c r="A39"/>
      <c r="B39"/>
      <c r="C39"/>
      <c r="D39"/>
      <c r="E39"/>
      <c r="F39"/>
      <c r="G39"/>
      <c r="H39"/>
      <c r="I39"/>
    </row>
    <row r="40" spans="1:9" s="297" customFormat="1" x14ac:dyDescent="0.25">
      <c r="A40"/>
      <c r="B40"/>
      <c r="C40"/>
      <c r="D40"/>
      <c r="E40"/>
      <c r="F40"/>
      <c r="G40"/>
      <c r="H40"/>
      <c r="I40"/>
    </row>
    <row r="41" spans="1:9" s="297" customFormat="1" x14ac:dyDescent="0.25">
      <c r="A41"/>
      <c r="B41"/>
      <c r="C41"/>
      <c r="D41"/>
      <c r="E41"/>
      <c r="F41"/>
      <c r="G41"/>
      <c r="H41"/>
      <c r="I41"/>
    </row>
    <row r="42" spans="1:9" s="297" customFormat="1" x14ac:dyDescent="0.25">
      <c r="A42"/>
      <c r="B42"/>
      <c r="C42"/>
      <c r="D42"/>
      <c r="E42"/>
      <c r="F42"/>
      <c r="G42"/>
      <c r="H42"/>
      <c r="I42"/>
    </row>
    <row r="43" spans="1:9" s="297" customFormat="1" x14ac:dyDescent="0.25">
      <c r="A43"/>
      <c r="B43"/>
      <c r="C43"/>
      <c r="D43"/>
      <c r="E43"/>
      <c r="F43"/>
      <c r="G43"/>
      <c r="H43"/>
      <c r="I43"/>
    </row>
    <row r="44" spans="1:9" s="297" customFormat="1" x14ac:dyDescent="0.25">
      <c r="A44"/>
      <c r="B44"/>
      <c r="C44"/>
      <c r="D44"/>
      <c r="E44"/>
      <c r="F44"/>
      <c r="G44"/>
      <c r="H44"/>
      <c r="I44"/>
    </row>
    <row r="45" spans="1:9" s="297" customFormat="1" x14ac:dyDescent="0.25">
      <c r="A45"/>
      <c r="B45"/>
      <c r="C45"/>
      <c r="D45"/>
      <c r="E45"/>
      <c r="F45"/>
      <c r="G45"/>
      <c r="H45"/>
      <c r="I45"/>
    </row>
    <row r="46" spans="1:9" s="297" customFormat="1" x14ac:dyDescent="0.25"/>
  </sheetData>
  <sheetProtection algorithmName="SHA-512" hashValue="KRGVKe4dmTjJgUY3t5enX8J0UHIJ3MHLzqBMFHIUh44AHLwELcg2K2VJ062otH/tvAxl+FfWTDswAw0W+uIJ9A==" saltValue="XJgdcIt77j/HRhw2m7C+Tg==" spinCount="100000" sheet="1" selectLockedCells="1"/>
  <mergeCells count="34">
    <mergeCell ref="B18:C18"/>
    <mergeCell ref="B19:C19"/>
    <mergeCell ref="B20:C20"/>
    <mergeCell ref="B24:C24"/>
    <mergeCell ref="B25:C25"/>
    <mergeCell ref="A22:F22"/>
    <mergeCell ref="B23:C23"/>
    <mergeCell ref="A27:B28"/>
    <mergeCell ref="A29:B29"/>
    <mergeCell ref="A30:B30"/>
    <mergeCell ref="A31:B31"/>
    <mergeCell ref="B26:C26"/>
    <mergeCell ref="F12:G12"/>
    <mergeCell ref="H12:I12"/>
    <mergeCell ref="F13:G13"/>
    <mergeCell ref="H13:I13"/>
    <mergeCell ref="F11:G11"/>
    <mergeCell ref="H11:I11"/>
    <mergeCell ref="A10:B10"/>
    <mergeCell ref="C10:I10"/>
    <mergeCell ref="A6:C6"/>
    <mergeCell ref="D6:I6"/>
    <mergeCell ref="A7:C7"/>
    <mergeCell ref="D7:I7"/>
    <mergeCell ref="A9:B9"/>
    <mergeCell ref="E9:F9"/>
    <mergeCell ref="G9:I9"/>
    <mergeCell ref="A5:C5"/>
    <mergeCell ref="D5:I5"/>
    <mergeCell ref="A1:I1"/>
    <mergeCell ref="A3:C3"/>
    <mergeCell ref="D3:I3"/>
    <mergeCell ref="A4:C4"/>
    <mergeCell ref="D4:I4"/>
  </mergeCells>
  <pageMargins left="0.43307086614173229" right="0.23622047244094491" top="0.74803149606299213" bottom="0.74803149606299213" header="0.31496062992125984" footer="0.31496062992125984"/>
  <pageSetup paperSize="9" orientation="portrait" r:id="rId1"/>
  <headerFooter>
    <oddHeader>&amp;LMALAYSIAN GREEN TECHNOLOGY AND CLIMATE CHANGE CORPORATION (MGTC)&amp;R&amp;10MGTC/DC/REC/LCC-011
Version:  1/ JUNE 2022</oddHeader>
    <oddFooter>&amp;L
&amp;A&amp;R
Page &amp;P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B458E-661B-4446-98D6-2EDDA27BDF4C}">
  <sheetPr>
    <tabColor rgb="FF3333FF"/>
  </sheetPr>
  <dimension ref="A1:J99"/>
  <sheetViews>
    <sheetView view="pageLayout" zoomScale="85" zoomScaleNormal="100" zoomScaleSheetLayoutView="85" zoomScalePageLayoutView="85" workbookViewId="0">
      <selection activeCell="A66" sqref="A66"/>
    </sheetView>
  </sheetViews>
  <sheetFormatPr defaultColWidth="9.140625" defaultRowHeight="15" x14ac:dyDescent="0.25"/>
  <cols>
    <col min="1" max="1" width="7.28515625" customWidth="1"/>
    <col min="2" max="7" width="10.5703125" customWidth="1"/>
    <col min="8" max="9" width="13" customWidth="1"/>
  </cols>
  <sheetData>
    <row r="1" spans="1:9" ht="16.5" thickBot="1" x14ac:dyDescent="0.3">
      <c r="A1" s="475" t="s">
        <v>136</v>
      </c>
      <c r="B1" s="476"/>
      <c r="C1" s="476"/>
      <c r="D1" s="476"/>
      <c r="E1" s="476"/>
      <c r="F1" s="476"/>
      <c r="G1" s="476"/>
      <c r="H1" s="476"/>
      <c r="I1" s="477"/>
    </row>
    <row r="3" spans="1:9" x14ac:dyDescent="0.25">
      <c r="A3" s="470" t="s">
        <v>27</v>
      </c>
      <c r="B3" s="470"/>
      <c r="C3" s="470"/>
      <c r="D3" s="491" t="str">
        <f>'Summary (Main)'!D11:H11</f>
        <v>LCC-Z-B090-XX-XXXX</v>
      </c>
      <c r="E3" s="491"/>
      <c r="F3" s="491"/>
      <c r="G3" s="491"/>
      <c r="H3" s="491"/>
      <c r="I3" s="491"/>
    </row>
    <row r="4" spans="1:9" x14ac:dyDescent="0.25">
      <c r="A4" s="470" t="s">
        <v>78</v>
      </c>
      <c r="B4" s="470"/>
      <c r="C4" s="470"/>
      <c r="D4" s="491" t="str">
        <f>'Summary (Main)'!D12:H12</f>
        <v>MAJLIS PERBANDARAN XXY</v>
      </c>
      <c r="E4" s="491"/>
      <c r="F4" s="491"/>
      <c r="G4" s="491"/>
      <c r="H4" s="491"/>
      <c r="I4" s="491"/>
    </row>
    <row r="5" spans="1:9" x14ac:dyDescent="0.25">
      <c r="A5" s="470" t="s">
        <v>0</v>
      </c>
      <c r="B5" s="470"/>
      <c r="C5" s="470"/>
      <c r="D5" s="491" t="str">
        <f>'Summary (Main)'!D13:H13</f>
        <v>MAJLIS PERBANDARAN XXY</v>
      </c>
      <c r="E5" s="491"/>
      <c r="F5" s="491"/>
      <c r="G5" s="491"/>
      <c r="H5" s="491"/>
      <c r="I5" s="491"/>
    </row>
    <row r="6" spans="1:9" x14ac:dyDescent="0.25">
      <c r="A6" s="470" t="s">
        <v>129</v>
      </c>
      <c r="B6" s="470"/>
      <c r="C6" s="470"/>
      <c r="D6" s="491">
        <f>'Summary (Main)'!D14:H14</f>
        <v>77432</v>
      </c>
      <c r="E6" s="491"/>
      <c r="F6" s="491"/>
      <c r="G6" s="491"/>
      <c r="H6" s="491"/>
      <c r="I6" s="491"/>
    </row>
    <row r="7" spans="1:9" x14ac:dyDescent="0.25">
      <c r="A7" s="470" t="s">
        <v>137</v>
      </c>
      <c r="B7" s="470"/>
      <c r="C7" s="470"/>
      <c r="D7" s="491">
        <f>'Summary (Main)'!D15:H15</f>
        <v>451.36</v>
      </c>
      <c r="E7" s="491"/>
      <c r="F7" s="491"/>
      <c r="G7" s="491"/>
      <c r="H7" s="491"/>
      <c r="I7" s="491"/>
    </row>
    <row r="8" spans="1:9" x14ac:dyDescent="0.25">
      <c r="A8" s="5"/>
      <c r="B8" s="5"/>
      <c r="C8" s="5"/>
    </row>
    <row r="9" spans="1:9" x14ac:dyDescent="0.25">
      <c r="A9" s="498" t="s">
        <v>7</v>
      </c>
      <c r="B9" s="498"/>
      <c r="C9" s="556" t="s">
        <v>45</v>
      </c>
      <c r="D9" s="558"/>
      <c r="E9" s="498" t="s">
        <v>12</v>
      </c>
      <c r="F9" s="498"/>
      <c r="G9" s="577" t="s">
        <v>60</v>
      </c>
      <c r="H9" s="578"/>
      <c r="I9" s="579"/>
    </row>
    <row r="10" spans="1:9" x14ac:dyDescent="0.25">
      <c r="A10" s="5"/>
      <c r="B10" s="5"/>
      <c r="C10" s="444"/>
      <c r="D10" s="444"/>
      <c r="E10" s="5"/>
      <c r="F10" s="5"/>
      <c r="G10" s="445"/>
      <c r="H10" s="182"/>
      <c r="I10" s="182"/>
    </row>
    <row r="11" spans="1:9" x14ac:dyDescent="0.25">
      <c r="A11" s="498" t="s">
        <v>6</v>
      </c>
      <c r="B11" s="498"/>
      <c r="C11" s="503" t="s">
        <v>139</v>
      </c>
      <c r="D11" s="504"/>
      <c r="E11" s="504"/>
      <c r="F11" s="504"/>
      <c r="G11" s="510"/>
    </row>
    <row r="12" spans="1:9" x14ac:dyDescent="0.25">
      <c r="A12" s="5"/>
      <c r="B12" s="5"/>
      <c r="C12" s="3"/>
      <c r="D12" s="3"/>
      <c r="E12" s="3"/>
      <c r="F12" s="3"/>
      <c r="G12" s="3"/>
      <c r="H12" t="s">
        <v>300</v>
      </c>
      <c r="I12" t="s">
        <v>298</v>
      </c>
    </row>
    <row r="13" spans="1:9" x14ac:dyDescent="0.25">
      <c r="A13" s="1" t="s">
        <v>9</v>
      </c>
      <c r="C13" s="523" t="s">
        <v>68</v>
      </c>
      <c r="D13" s="523"/>
      <c r="G13" s="13">
        <v>1.92</v>
      </c>
      <c r="H13" t="s">
        <v>71</v>
      </c>
      <c r="I13" s="194" t="s">
        <v>299</v>
      </c>
    </row>
    <row r="14" spans="1:9" x14ac:dyDescent="0.25">
      <c r="C14" s="523" t="s">
        <v>69</v>
      </c>
      <c r="D14" s="523"/>
      <c r="G14" s="13">
        <v>2.74</v>
      </c>
      <c r="H14" t="s">
        <v>71</v>
      </c>
      <c r="I14" s="194" t="s">
        <v>299</v>
      </c>
    </row>
    <row r="15" spans="1:9" x14ac:dyDescent="0.25">
      <c r="C15" s="523" t="s">
        <v>70</v>
      </c>
      <c r="D15" s="523"/>
      <c r="G15" s="13">
        <v>59.19</v>
      </c>
      <c r="H15" t="s">
        <v>81</v>
      </c>
      <c r="I15" s="194" t="s">
        <v>299</v>
      </c>
    </row>
    <row r="16" spans="1:9" x14ac:dyDescent="0.25">
      <c r="C16" s="523" t="s">
        <v>61</v>
      </c>
      <c r="D16" s="523"/>
      <c r="G16" s="13">
        <v>0.18368000000000001</v>
      </c>
      <c r="H16" t="s">
        <v>62</v>
      </c>
      <c r="I16" s="194" t="s">
        <v>301</v>
      </c>
    </row>
    <row r="17" spans="3:10" x14ac:dyDescent="0.25">
      <c r="C17" s="523" t="s">
        <v>64</v>
      </c>
      <c r="D17" s="523"/>
      <c r="G17" s="13">
        <v>0.11529</v>
      </c>
      <c r="H17" t="s">
        <v>62</v>
      </c>
      <c r="I17" s="194" t="s">
        <v>301</v>
      </c>
    </row>
    <row r="18" spans="3:10" x14ac:dyDescent="0.25">
      <c r="C18" s="576" t="s">
        <v>65</v>
      </c>
      <c r="D18" s="576"/>
      <c r="G18" s="13">
        <v>0.79100000000000004</v>
      </c>
      <c r="H18" t="s">
        <v>62</v>
      </c>
      <c r="I18" s="194" t="s">
        <v>302</v>
      </c>
    </row>
    <row r="19" spans="3:10" x14ac:dyDescent="0.25">
      <c r="C19" s="295" t="s">
        <v>250</v>
      </c>
      <c r="D19" s="295"/>
      <c r="G19" s="13">
        <v>59.4</v>
      </c>
      <c r="H19" s="3" t="s">
        <v>182</v>
      </c>
      <c r="I19" s="194"/>
    </row>
    <row r="20" spans="3:10" x14ac:dyDescent="0.25">
      <c r="C20" s="295" t="s">
        <v>183</v>
      </c>
      <c r="D20" s="295"/>
      <c r="G20" s="13">
        <v>98.8</v>
      </c>
      <c r="H20" s="3" t="s">
        <v>182</v>
      </c>
      <c r="I20" s="3"/>
      <c r="J20" s="182"/>
    </row>
    <row r="21" spans="3:10" x14ac:dyDescent="0.25">
      <c r="C21" s="295" t="s">
        <v>184</v>
      </c>
      <c r="D21" s="295"/>
      <c r="G21" s="13">
        <v>125</v>
      </c>
      <c r="H21" s="3" t="s">
        <v>182</v>
      </c>
      <c r="I21" s="3"/>
      <c r="J21" s="182"/>
    </row>
    <row r="22" spans="3:10" x14ac:dyDescent="0.25">
      <c r="C22" s="295" t="s">
        <v>255</v>
      </c>
      <c r="D22" s="295"/>
      <c r="G22" s="13">
        <v>273</v>
      </c>
      <c r="H22" s="3" t="s">
        <v>182</v>
      </c>
      <c r="I22" s="3"/>
      <c r="J22" s="182"/>
    </row>
    <row r="23" spans="3:10" x14ac:dyDescent="0.25">
      <c r="C23" s="295" t="s">
        <v>254</v>
      </c>
      <c r="D23" s="295"/>
      <c r="G23" s="13">
        <v>228</v>
      </c>
      <c r="H23" s="3" t="s">
        <v>182</v>
      </c>
      <c r="I23" s="3"/>
      <c r="J23" s="182"/>
    </row>
    <row r="24" spans="3:10" x14ac:dyDescent="0.25">
      <c r="C24" s="295" t="s">
        <v>253</v>
      </c>
      <c r="D24" s="295"/>
      <c r="G24" s="13">
        <v>203</v>
      </c>
      <c r="H24" s="3" t="s">
        <v>182</v>
      </c>
      <c r="I24" s="3"/>
      <c r="J24" s="182"/>
    </row>
    <row r="25" spans="3:10" x14ac:dyDescent="0.25">
      <c r="C25" s="295" t="s">
        <v>252</v>
      </c>
      <c r="D25" s="295"/>
      <c r="G25" s="13">
        <v>193</v>
      </c>
      <c r="H25" s="3" t="s">
        <v>182</v>
      </c>
      <c r="I25" s="3"/>
      <c r="J25" s="182"/>
    </row>
    <row r="26" spans="3:10" x14ac:dyDescent="0.25">
      <c r="C26" s="295" t="s">
        <v>251</v>
      </c>
      <c r="D26" s="295"/>
      <c r="G26" s="13">
        <v>221</v>
      </c>
      <c r="H26" s="3" t="s">
        <v>182</v>
      </c>
      <c r="I26" s="3"/>
      <c r="J26" s="182"/>
    </row>
    <row r="27" spans="3:10" x14ac:dyDescent="0.25">
      <c r="C27" s="295" t="s">
        <v>208</v>
      </c>
      <c r="D27" s="295"/>
      <c r="G27" s="13">
        <v>379</v>
      </c>
      <c r="H27" s="3" t="s">
        <v>182</v>
      </c>
      <c r="I27" s="3"/>
      <c r="J27" s="182"/>
    </row>
    <row r="28" spans="3:10" x14ac:dyDescent="0.25">
      <c r="C28" s="295" t="s">
        <v>209</v>
      </c>
      <c r="D28" s="295"/>
      <c r="G28" s="13">
        <v>148</v>
      </c>
      <c r="H28" s="3" t="s">
        <v>182</v>
      </c>
      <c r="I28" s="3"/>
      <c r="J28" s="182"/>
    </row>
    <row r="29" spans="3:10" x14ac:dyDescent="0.25">
      <c r="C29" s="295" t="s">
        <v>187</v>
      </c>
      <c r="D29" s="295"/>
      <c r="G29" s="13">
        <v>329</v>
      </c>
      <c r="H29" s="3" t="s">
        <v>182</v>
      </c>
      <c r="I29" s="3"/>
      <c r="J29" s="182"/>
    </row>
    <row r="30" spans="3:10" x14ac:dyDescent="0.25">
      <c r="C30" s="295" t="s">
        <v>211</v>
      </c>
      <c r="D30" s="295"/>
      <c r="G30" s="13">
        <v>286</v>
      </c>
      <c r="H30" s="3" t="s">
        <v>182</v>
      </c>
      <c r="I30" s="3"/>
      <c r="J30" s="182"/>
    </row>
    <row r="31" spans="3:10" x14ac:dyDescent="0.25">
      <c r="C31" s="295" t="s">
        <v>188</v>
      </c>
      <c r="D31" s="295"/>
      <c r="G31" s="13">
        <v>781</v>
      </c>
      <c r="H31" s="3" t="s">
        <v>182</v>
      </c>
      <c r="I31" s="3"/>
      <c r="J31" s="182"/>
    </row>
    <row r="32" spans="3:10" x14ac:dyDescent="0.25">
      <c r="C32" s="295" t="s">
        <v>205</v>
      </c>
      <c r="D32" s="295"/>
      <c r="G32" s="13">
        <v>329</v>
      </c>
      <c r="H32" s="3" t="s">
        <v>182</v>
      </c>
      <c r="I32" s="3"/>
      <c r="J32" s="182"/>
    </row>
    <row r="33" spans="1:10" x14ac:dyDescent="0.25">
      <c r="C33" s="295" t="s">
        <v>189</v>
      </c>
      <c r="D33" s="295"/>
      <c r="G33" s="13">
        <v>286</v>
      </c>
      <c r="H33" s="3" t="s">
        <v>182</v>
      </c>
      <c r="I33" s="3"/>
      <c r="J33" s="182"/>
    </row>
    <row r="34" spans="1:10" x14ac:dyDescent="0.25">
      <c r="C34" s="295" t="s">
        <v>190</v>
      </c>
      <c r="D34" s="295"/>
      <c r="G34" s="13">
        <v>781</v>
      </c>
      <c r="H34" s="3" t="s">
        <v>182</v>
      </c>
      <c r="I34" s="3"/>
      <c r="J34" s="182"/>
    </row>
    <row r="35" spans="1:10" x14ac:dyDescent="0.25">
      <c r="C35" s="295" t="s">
        <v>256</v>
      </c>
      <c r="D35" s="295"/>
      <c r="G35" s="13">
        <v>1110</v>
      </c>
      <c r="H35" s="3" t="s">
        <v>182</v>
      </c>
      <c r="I35" s="3"/>
      <c r="J35" s="182"/>
    </row>
    <row r="36" spans="1:10" x14ac:dyDescent="0.25">
      <c r="C36" s="295" t="s">
        <v>257</v>
      </c>
      <c r="D36" s="295"/>
      <c r="G36" s="13">
        <v>613</v>
      </c>
      <c r="H36" s="3" t="s">
        <v>182</v>
      </c>
      <c r="I36" s="3"/>
      <c r="J36" s="182"/>
    </row>
    <row r="37" spans="1:10" x14ac:dyDescent="0.25">
      <c r="C37" s="295" t="s">
        <v>258</v>
      </c>
      <c r="D37" s="295"/>
      <c r="G37" s="13">
        <v>1200</v>
      </c>
      <c r="H37" s="3" t="s">
        <v>182</v>
      </c>
      <c r="I37" s="3"/>
      <c r="J37" s="182"/>
    </row>
    <row r="38" spans="1:10" x14ac:dyDescent="0.25">
      <c r="C38" s="295" t="s">
        <v>259</v>
      </c>
      <c r="D38" s="295"/>
      <c r="G38" s="13">
        <v>909</v>
      </c>
      <c r="H38" s="3" t="s">
        <v>182</v>
      </c>
      <c r="I38" s="3"/>
      <c r="J38" s="182"/>
    </row>
    <row r="39" spans="1:10" x14ac:dyDescent="0.25">
      <c r="C39" s="6"/>
      <c r="D39" s="6"/>
      <c r="E39" s="13"/>
      <c r="F39" s="3"/>
      <c r="G39" s="3"/>
      <c r="H39" s="182"/>
      <c r="I39" s="182"/>
    </row>
    <row r="40" spans="1:10" x14ac:dyDescent="0.25">
      <c r="A40" s="537" t="s">
        <v>242</v>
      </c>
      <c r="B40" s="537"/>
      <c r="C40" s="537"/>
      <c r="D40" s="537"/>
      <c r="E40" s="537"/>
      <c r="F40" s="537"/>
      <c r="G40" s="57"/>
      <c r="H40" s="57"/>
      <c r="I40" s="57"/>
    </row>
    <row r="41" spans="1:10" s="147" customFormat="1" ht="15" customHeight="1" x14ac:dyDescent="0.25">
      <c r="B41" s="149" t="s">
        <v>153</v>
      </c>
      <c r="C41" s="148"/>
      <c r="D41" s="148"/>
      <c r="E41" s="148"/>
      <c r="F41" s="148"/>
      <c r="G41" s="148"/>
      <c r="H41" s="197"/>
      <c r="I41" s="196"/>
    </row>
    <row r="42" spans="1:10" x14ac:dyDescent="0.25">
      <c r="B42" s="14" t="s">
        <v>212</v>
      </c>
      <c r="C42" s="14" t="s">
        <v>212</v>
      </c>
      <c r="D42" s="14" t="s">
        <v>212</v>
      </c>
      <c r="E42" s="14" t="s">
        <v>212</v>
      </c>
      <c r="F42" s="14" t="s">
        <v>212</v>
      </c>
      <c r="G42" s="14" t="s">
        <v>212</v>
      </c>
      <c r="H42" s="197"/>
      <c r="I42" s="196"/>
    </row>
    <row r="43" spans="1:10" x14ac:dyDescent="0.25">
      <c r="A43" s="71" t="s">
        <v>55</v>
      </c>
      <c r="B43" s="72" t="s">
        <v>147</v>
      </c>
      <c r="C43" s="72" t="s">
        <v>148</v>
      </c>
      <c r="D43" s="72" t="s">
        <v>149</v>
      </c>
      <c r="E43" s="72" t="s">
        <v>150</v>
      </c>
      <c r="F43" s="72" t="s">
        <v>151</v>
      </c>
      <c r="G43" s="195" t="s">
        <v>152</v>
      </c>
      <c r="H43" s="197"/>
      <c r="I43" s="196"/>
    </row>
    <row r="44" spans="1:10" x14ac:dyDescent="0.25">
      <c r="A44" s="134">
        <f>'Summary (Main)'!C17</f>
        <v>2017</v>
      </c>
      <c r="B44" s="134">
        <f>'Mobility 2 - Traffic DATA 2017'!D$185</f>
        <v>645</v>
      </c>
      <c r="C44" s="134">
        <f>'Mobility 2 - Traffic DATA 2017'!E$185</f>
        <v>4313</v>
      </c>
      <c r="D44" s="134">
        <f>'Mobility 2 - Traffic DATA 2017'!F$185</f>
        <v>1969</v>
      </c>
      <c r="E44" s="134">
        <f>'Mobility 2 - Traffic DATA 2017'!G$185</f>
        <v>53</v>
      </c>
      <c r="F44" s="134">
        <f>'Mobility 2 - Traffic DATA 2017'!H$185</f>
        <v>97</v>
      </c>
      <c r="G44" s="134">
        <f>'Mobility 2 - Traffic DATA 2017'!I$185</f>
        <v>26</v>
      </c>
      <c r="H44" s="317"/>
      <c r="I44" s="318"/>
    </row>
    <row r="45" spans="1:10" x14ac:dyDescent="0.25">
      <c r="A45" s="330">
        <f>A44+1</f>
        <v>2018</v>
      </c>
      <c r="B45" s="330">
        <f>'Mobility 2 - Traffic DATA 2018'!D185</f>
        <v>645</v>
      </c>
      <c r="C45" s="330">
        <f>'Mobility 2 - Traffic DATA 2018'!E185</f>
        <v>4313</v>
      </c>
      <c r="D45" s="330">
        <f>'Mobility 2 - Traffic DATA 2018'!F185</f>
        <v>1969</v>
      </c>
      <c r="E45" s="330">
        <f>'Mobility 2 - Traffic DATA 2018'!G185</f>
        <v>53</v>
      </c>
      <c r="F45" s="330">
        <f>'Mobility 2 - Traffic DATA 2018'!H185</f>
        <v>97</v>
      </c>
      <c r="G45" s="330">
        <f>'Mobility 2 - Traffic DATA 2018'!I185</f>
        <v>26</v>
      </c>
      <c r="H45" s="319"/>
      <c r="I45" s="320"/>
    </row>
    <row r="46" spans="1:10" x14ac:dyDescent="0.25">
      <c r="A46" s="330">
        <f>A45+1</f>
        <v>2019</v>
      </c>
      <c r="B46" s="330">
        <f>'Mobility 2 - Traffic DATA 2019'!D185</f>
        <v>665</v>
      </c>
      <c r="C46" s="330">
        <f>'Mobility 2 - Traffic DATA 2019'!E185</f>
        <v>4685</v>
      </c>
      <c r="D46" s="330">
        <f>'Mobility 2 - Traffic DATA 2019'!F185</f>
        <v>2064</v>
      </c>
      <c r="E46" s="330">
        <f>'Mobility 2 - Traffic DATA 2019'!G185</f>
        <v>56</v>
      </c>
      <c r="F46" s="330">
        <f>'Mobility 2 - Traffic DATA 2019'!H185</f>
        <v>66</v>
      </c>
      <c r="G46" s="330">
        <f>'Mobility 2 - Traffic DATA 2019'!I185</f>
        <v>20</v>
      </c>
      <c r="H46" s="319"/>
      <c r="I46" s="320"/>
    </row>
    <row r="47" spans="1:10" x14ac:dyDescent="0.25">
      <c r="A47" s="330">
        <v>2020</v>
      </c>
      <c r="B47" s="330">
        <f>'Mobility 2 - Traffic DATA 2020'!D185</f>
        <v>665</v>
      </c>
      <c r="C47" s="330">
        <f>'Mobility 2 - Traffic DATA 2020'!E185</f>
        <v>4685</v>
      </c>
      <c r="D47" s="330">
        <f>'Mobility 2 - Traffic DATA 2020'!F185</f>
        <v>2064</v>
      </c>
      <c r="E47" s="330">
        <f>'Mobility 2 - Traffic DATA 2020'!G185</f>
        <v>56</v>
      </c>
      <c r="F47" s="330">
        <f>'Mobility 2 - Traffic DATA 2020'!H185</f>
        <v>66</v>
      </c>
      <c r="G47" s="330">
        <f>'Mobility 2 - Traffic DATA 2020'!I185</f>
        <v>20</v>
      </c>
      <c r="H47" s="319"/>
      <c r="I47" s="320"/>
    </row>
    <row r="48" spans="1:10" x14ac:dyDescent="0.25">
      <c r="A48" s="330">
        <v>2021</v>
      </c>
      <c r="B48" s="330">
        <f>'Mobility 2 - Traffic DATA 2021'!D185</f>
        <v>665</v>
      </c>
      <c r="C48" s="330">
        <f>'Mobility 2 - Traffic DATA 2021'!E185</f>
        <v>4685</v>
      </c>
      <c r="D48" s="330">
        <f>'Mobility 2 - Traffic DATA 2021'!F185</f>
        <v>2064</v>
      </c>
      <c r="E48" s="330">
        <f>'Mobility 2 - Traffic DATA 2021'!G185</f>
        <v>56</v>
      </c>
      <c r="F48" s="330">
        <f>'Mobility 2 - Traffic DATA 2021'!H185</f>
        <v>66</v>
      </c>
      <c r="G48" s="330">
        <f>'Mobility 2 - Traffic DATA 2021'!I185</f>
        <v>20</v>
      </c>
      <c r="H48" s="319"/>
      <c r="I48" s="320"/>
    </row>
    <row r="49" spans="1:9" x14ac:dyDescent="0.25">
      <c r="A49" s="330">
        <v>2022</v>
      </c>
      <c r="B49" s="330">
        <f>'Mobility 2 - Traffic DATA 2022'!D185</f>
        <v>650</v>
      </c>
      <c r="C49" s="330">
        <f>'Mobility 2 - Traffic DATA 2022'!E185</f>
        <v>4624</v>
      </c>
      <c r="D49" s="330">
        <f>'Mobility 2 - Traffic DATA 2022'!F185</f>
        <v>3056</v>
      </c>
      <c r="E49" s="330">
        <f>'Mobility 2 - Traffic DATA 2022'!G185</f>
        <v>55</v>
      </c>
      <c r="F49" s="330">
        <f>'Mobility 2 - Traffic DATA 2022'!H185</f>
        <v>65</v>
      </c>
      <c r="G49" s="330">
        <f>'Mobility 2 - Traffic DATA 2022'!I185</f>
        <v>20</v>
      </c>
      <c r="H49" s="321"/>
      <c r="I49" s="322"/>
    </row>
    <row r="50" spans="1:9" x14ac:dyDescent="0.25">
      <c r="A50" s="185"/>
      <c r="B50" s="185"/>
      <c r="C50" s="185"/>
      <c r="D50" s="185"/>
      <c r="E50" s="185"/>
      <c r="F50" s="185"/>
      <c r="G50" s="185"/>
      <c r="H50" s="186"/>
      <c r="I50" s="323"/>
    </row>
    <row r="51" spans="1:9" x14ac:dyDescent="0.25">
      <c r="A51" s="537" t="s">
        <v>241</v>
      </c>
      <c r="B51" s="537"/>
      <c r="C51" s="537"/>
      <c r="D51" s="537"/>
      <c r="E51" s="537"/>
      <c r="F51" s="537"/>
      <c r="G51" s="57"/>
      <c r="H51" s="57"/>
      <c r="I51" s="57"/>
    </row>
    <row r="52" spans="1:9" ht="15.75" thickBot="1" x14ac:dyDescent="0.3">
      <c r="A52" s="385"/>
      <c r="B52" s="385"/>
      <c r="C52" s="385"/>
      <c r="D52" s="385"/>
      <c r="E52" s="385"/>
      <c r="F52" s="385"/>
      <c r="G52" s="57"/>
      <c r="H52" s="57"/>
      <c r="I52" s="57"/>
    </row>
    <row r="53" spans="1:9" ht="29.25" customHeight="1" thickBot="1" x14ac:dyDescent="0.3">
      <c r="A53" s="438" t="s">
        <v>55</v>
      </c>
      <c r="B53" s="439" t="s">
        <v>147</v>
      </c>
      <c r="C53" s="439" t="s">
        <v>148</v>
      </c>
      <c r="D53" s="439" t="s">
        <v>149</v>
      </c>
      <c r="E53" s="439" t="s">
        <v>150</v>
      </c>
      <c r="F53" s="439" t="s">
        <v>151</v>
      </c>
      <c r="G53" s="439" t="s">
        <v>152</v>
      </c>
      <c r="H53" s="440" t="s">
        <v>155</v>
      </c>
      <c r="I53" s="441" t="s">
        <v>154</v>
      </c>
    </row>
    <row r="54" spans="1:9" x14ac:dyDescent="0.25">
      <c r="A54" s="432">
        <f>A44</f>
        <v>2017</v>
      </c>
      <c r="B54" s="433">
        <f>'Mobility 2 - Traffic DATA 2017'!B$190</f>
        <v>7.5954278399999992E-2</v>
      </c>
      <c r="C54" s="433">
        <f>'Mobility 2 - Traffic DATA 2017'!C$190</f>
        <v>0.95452205962500003</v>
      </c>
      <c r="D54" s="433">
        <f>'Mobility 2 - Traffic DATA 2017'!D$190</f>
        <v>0.677895672</v>
      </c>
      <c r="E54" s="433">
        <f>'Mobility 2 - Traffic DATA 2017'!E$190</f>
        <v>4.4774729999999999E-2</v>
      </c>
      <c r="F54" s="433">
        <f>'Mobility 2 - Traffic DATA 2017'!F$190</f>
        <v>3.0870502000000001E-2</v>
      </c>
      <c r="G54" s="433">
        <f>'Mobility 2 - Traffic DATA 2017'!G$190</f>
        <v>2.5447281299999999E-2</v>
      </c>
      <c r="H54" s="433">
        <f>SUM(B54:G54)</f>
        <v>1.809464523325</v>
      </c>
      <c r="I54" s="434"/>
    </row>
    <row r="55" spans="1:9" ht="15.75" thickBot="1" x14ac:dyDescent="0.3">
      <c r="A55" s="435"/>
      <c r="B55" s="436">
        <f>'Mobility 2 - Traffic DATA 2017'!B$191</f>
        <v>27.723311615999997</v>
      </c>
      <c r="C55" s="436">
        <f>'Mobility 2 - Traffic DATA 2017'!C$191</f>
        <v>348.40055176312501</v>
      </c>
      <c r="D55" s="436">
        <f>'Mobility 2 - Traffic DATA 2017'!D$191</f>
        <v>247.43192028000001</v>
      </c>
      <c r="E55" s="436">
        <f>'Mobility 2 - Traffic DATA 2017'!E$191</f>
        <v>16.342776449999999</v>
      </c>
      <c r="F55" s="436">
        <f>'Mobility 2 - Traffic DATA 2017'!F$191</f>
        <v>11.267733230000001</v>
      </c>
      <c r="G55" s="436">
        <f>'Mobility 2 - Traffic DATA 2017'!G$191</f>
        <v>9.2882576745000005</v>
      </c>
      <c r="H55" s="429"/>
      <c r="I55" s="437">
        <f>SUM(B55:G55)</f>
        <v>660.45455101362495</v>
      </c>
    </row>
    <row r="56" spans="1:9" x14ac:dyDescent="0.25">
      <c r="A56" s="424">
        <f>A45</f>
        <v>2018</v>
      </c>
      <c r="B56" s="425">
        <f>'Mobility 2 - Traffic DATA 2018'!B190</f>
        <v>7.5954278399999992E-2</v>
      </c>
      <c r="C56" s="425">
        <f>'Mobility 2 - Traffic DATA 2018'!C190</f>
        <v>0.95452205962500003</v>
      </c>
      <c r="D56" s="425">
        <f>'Mobility 2 - Traffic DATA 2018'!D190</f>
        <v>0.677895672</v>
      </c>
      <c r="E56" s="425">
        <f>'Mobility 2 - Traffic DATA 2018'!E190</f>
        <v>4.4774729999999999E-2</v>
      </c>
      <c r="F56" s="425">
        <f>'Mobility 2 - Traffic DATA 2018'!F190</f>
        <v>3.0870502000000001E-2</v>
      </c>
      <c r="G56" s="425">
        <f>'Mobility 2 - Traffic DATA 2018'!G190</f>
        <v>2.5447281299999999E-2</v>
      </c>
      <c r="H56" s="425">
        <f>'Mobility 2 - Traffic DATA 2018'!H190</f>
        <v>1.809464523325</v>
      </c>
      <c r="I56" s="426"/>
    </row>
    <row r="57" spans="1:9" ht="15.75" thickBot="1" x14ac:dyDescent="0.3">
      <c r="A57" s="427"/>
      <c r="B57" s="428">
        <f>'Mobility 2 - Traffic DATA 2018'!B191</f>
        <v>27.723311615999997</v>
      </c>
      <c r="C57" s="428">
        <f>'Mobility 2 - Traffic DATA 2018'!C191</f>
        <v>348.40055176312501</v>
      </c>
      <c r="D57" s="428">
        <f>'Mobility 2 - Traffic DATA 2018'!D191</f>
        <v>247.43192028000001</v>
      </c>
      <c r="E57" s="428">
        <f>'Mobility 2 - Traffic DATA 2018'!E191</f>
        <v>16.342776449999999</v>
      </c>
      <c r="F57" s="428">
        <f>'Mobility 2 - Traffic DATA 2018'!F191</f>
        <v>11.267733230000001</v>
      </c>
      <c r="G57" s="428">
        <f>'Mobility 2 - Traffic DATA 2018'!G191</f>
        <v>9.2882576745000005</v>
      </c>
      <c r="H57" s="429"/>
      <c r="I57" s="430">
        <f>'Mobility 2 - Traffic DATA 2018'!I191</f>
        <v>660.45455101362495</v>
      </c>
    </row>
    <row r="58" spans="1:9" x14ac:dyDescent="0.25">
      <c r="A58" s="424">
        <f>A46</f>
        <v>2019</v>
      </c>
      <c r="B58" s="425">
        <f>'Mobility 2 - Traffic DATA 2019'!B190</f>
        <v>7.8929177599999997E-2</v>
      </c>
      <c r="C58" s="425">
        <f>'Mobility 2 - Traffic DATA 2019'!C190</f>
        <v>1.058290111125</v>
      </c>
      <c r="D58" s="425">
        <f>'Mobility 2 - Traffic DATA 2019'!D190</f>
        <v>0.70708944900000004</v>
      </c>
      <c r="E58" s="425">
        <f>'Mobility 2 - Traffic DATA 2019'!E190</f>
        <v>4.5157419999999997E-2</v>
      </c>
      <c r="F58" s="425">
        <f>'Mobility 2 - Traffic DATA 2019'!F190</f>
        <v>2.0004573000000001E-2</v>
      </c>
      <c r="G58" s="425">
        <f>'Mobility 2 - Traffic DATA 2019'!G190</f>
        <v>1.8731036499999999E-2</v>
      </c>
      <c r="H58" s="425">
        <f>'Mobility 2 - Traffic DATA 2019'!H190</f>
        <v>1.928201767225</v>
      </c>
      <c r="I58" s="431"/>
    </row>
    <row r="59" spans="1:9" ht="15.75" thickBot="1" x14ac:dyDescent="0.3">
      <c r="A59" s="427"/>
      <c r="B59" s="428">
        <f>'Mobility 2 - Traffic DATA 2019'!B191</f>
        <v>28.809149823999999</v>
      </c>
      <c r="C59" s="428">
        <f>'Mobility 2 - Traffic DATA 2019'!C191</f>
        <v>386.27589056062504</v>
      </c>
      <c r="D59" s="428">
        <f>'Mobility 2 - Traffic DATA 2019'!D191</f>
        <v>258.08764888500002</v>
      </c>
      <c r="E59" s="428">
        <f>'Mobility 2 - Traffic DATA 2019'!E191</f>
        <v>16.482458299999998</v>
      </c>
      <c r="F59" s="428">
        <f>'Mobility 2 - Traffic DATA 2019'!F191</f>
        <v>7.3016691450000009</v>
      </c>
      <c r="G59" s="428">
        <f>'Mobility 2 - Traffic DATA 2019'!G191</f>
        <v>6.8368283224999997</v>
      </c>
      <c r="H59" s="429"/>
      <c r="I59" s="430">
        <f>'Mobility 2 - Traffic DATA 2019'!I191</f>
        <v>703.79364503712497</v>
      </c>
    </row>
    <row r="60" spans="1:9" x14ac:dyDescent="0.25">
      <c r="A60" s="424">
        <f>A47</f>
        <v>2020</v>
      </c>
      <c r="B60" s="425">
        <f>'Mobility 2 - Traffic DATA 2020'!B190</f>
        <v>7.8929177599999997E-2</v>
      </c>
      <c r="C60" s="425">
        <f>'Mobility 2 - Traffic DATA 2020'!C190</f>
        <v>1.058290111125</v>
      </c>
      <c r="D60" s="425">
        <f>'Mobility 2 - Traffic DATA 2020'!D190</f>
        <v>0.70708944900000004</v>
      </c>
      <c r="E60" s="425">
        <f>'Mobility 2 - Traffic DATA 2020'!E190</f>
        <v>4.5157419999999997E-2</v>
      </c>
      <c r="F60" s="425">
        <f>'Mobility 2 - Traffic DATA 2020'!F190</f>
        <v>2.0004573000000001E-2</v>
      </c>
      <c r="G60" s="425">
        <f>'Mobility 2 - Traffic DATA 2020'!G190</f>
        <v>1.8731036499999999E-2</v>
      </c>
      <c r="H60" s="425">
        <f>'Mobility 2 - Traffic DATA 2020'!H190</f>
        <v>1.928201767225</v>
      </c>
      <c r="I60" s="442"/>
    </row>
    <row r="61" spans="1:9" ht="15.75" thickBot="1" x14ac:dyDescent="0.3">
      <c r="A61" s="427"/>
      <c r="B61" s="428">
        <f>'Mobility 2 - Traffic DATA 2020'!B191</f>
        <v>28.809149823999999</v>
      </c>
      <c r="C61" s="428">
        <f>'Mobility 2 - Traffic DATA 2020'!C191</f>
        <v>386.27589056062504</v>
      </c>
      <c r="D61" s="428">
        <f>'Mobility 2 - Traffic DATA 2020'!D191</f>
        <v>258.08764888500002</v>
      </c>
      <c r="E61" s="428">
        <f>'Mobility 2 - Traffic DATA 2020'!E191</f>
        <v>16.482458299999998</v>
      </c>
      <c r="F61" s="428">
        <f>'Mobility 2 - Traffic DATA 2020'!F191</f>
        <v>7.3016691450000009</v>
      </c>
      <c r="G61" s="428">
        <f>'Mobility 2 - Traffic DATA 2020'!G191</f>
        <v>6.8368283224999997</v>
      </c>
      <c r="H61" s="429"/>
      <c r="I61" s="428">
        <f>'Mobility 2 - Traffic DATA 2020'!I191</f>
        <v>703.79364503712497</v>
      </c>
    </row>
    <row r="62" spans="1:9" x14ac:dyDescent="0.25">
      <c r="A62" s="424">
        <f>A48</f>
        <v>2021</v>
      </c>
      <c r="B62" s="425">
        <f>'Mobility 2 - Traffic DATA 2021'!B190</f>
        <v>7.8929177599999997E-2</v>
      </c>
      <c r="C62" s="425">
        <f>'Mobility 2 - Traffic DATA 2021'!C190</f>
        <v>1.058290111125</v>
      </c>
      <c r="D62" s="425">
        <f>'Mobility 2 - Traffic DATA 2021'!D190</f>
        <v>0.70708944900000004</v>
      </c>
      <c r="E62" s="425">
        <f>'Mobility 2 - Traffic DATA 2021'!E190</f>
        <v>4.5157419999999997E-2</v>
      </c>
      <c r="F62" s="425">
        <f>'Mobility 2 - Traffic DATA 2021'!F190</f>
        <v>2.0004573000000001E-2</v>
      </c>
      <c r="G62" s="425">
        <f>'Mobility 2 - Traffic DATA 2021'!G190</f>
        <v>1.8731036499999999E-2</v>
      </c>
      <c r="H62" s="425">
        <f>'Mobility 2 - Traffic DATA 2021'!H190</f>
        <v>1.928201767225</v>
      </c>
      <c r="I62" s="442"/>
    </row>
    <row r="63" spans="1:9" ht="15.75" thickBot="1" x14ac:dyDescent="0.3">
      <c r="A63" s="427"/>
      <c r="B63" s="428">
        <f>'Mobility 2 - Traffic DATA 2021'!B191</f>
        <v>28.809149823999999</v>
      </c>
      <c r="C63" s="428">
        <f>'Mobility 2 - Traffic DATA 2021'!C191</f>
        <v>386.27589056062504</v>
      </c>
      <c r="D63" s="428">
        <f>'Mobility 2 - Traffic DATA 2021'!D191</f>
        <v>258.08764888500002</v>
      </c>
      <c r="E63" s="428">
        <f>'Mobility 2 - Traffic DATA 2021'!E191</f>
        <v>16.482458299999998</v>
      </c>
      <c r="F63" s="428">
        <f>'Mobility 2 - Traffic DATA 2021'!F191</f>
        <v>7.3016691450000009</v>
      </c>
      <c r="G63" s="428">
        <f>'Mobility 2 - Traffic DATA 2021'!G191</f>
        <v>6.8368283224999997</v>
      </c>
      <c r="H63" s="429"/>
      <c r="I63" s="428">
        <f>'Mobility 2 - Traffic DATA 2021'!I191</f>
        <v>703.79364503712497</v>
      </c>
    </row>
    <row r="64" spans="1:9" x14ac:dyDescent="0.25">
      <c r="A64" s="424">
        <f>A49</f>
        <v>2022</v>
      </c>
      <c r="B64" s="425">
        <f>'Mobility 2 - Traffic DATA 2022'!B190</f>
        <v>7.7810969600000002E-2</v>
      </c>
      <c r="C64" s="425">
        <f>'Mobility 2 - Traffic DATA 2022'!C190</f>
        <v>1.0498481991250004</v>
      </c>
      <c r="D64" s="425">
        <f>'Mobility 2 - Traffic DATA 2022'!D190</f>
        <v>0.91323498500000011</v>
      </c>
      <c r="E64" s="425">
        <f>'Mobility 2 - Traffic DATA 2022'!E190</f>
        <v>4.4657580000000002E-2</v>
      </c>
      <c r="F64" s="425">
        <f>'Mobility 2 - Traffic DATA 2022'!F190</f>
        <v>1.9818780999999997E-2</v>
      </c>
      <c r="G64" s="425">
        <f>'Mobility 2 - Traffic DATA 2022'!G190</f>
        <v>1.8731036499999999E-2</v>
      </c>
      <c r="H64" s="425">
        <f>'Mobility 2 - Traffic DATA 2022'!H190</f>
        <v>2.1241015512250008</v>
      </c>
      <c r="I64" s="443"/>
    </row>
    <row r="65" spans="1:9" ht="15.75" thickBot="1" x14ac:dyDescent="0.3">
      <c r="A65" s="427"/>
      <c r="B65" s="428">
        <f>'Mobility 2 - Traffic DATA 2022'!B191</f>
        <v>28.401003904</v>
      </c>
      <c r="C65" s="428">
        <f>'Mobility 2 - Traffic DATA 2022'!C191</f>
        <v>383.19459268062514</v>
      </c>
      <c r="D65" s="428">
        <f>'Mobility 2 - Traffic DATA 2022'!D191</f>
        <v>333.33076952500005</v>
      </c>
      <c r="E65" s="428">
        <f>'Mobility 2 - Traffic DATA 2022'!E191</f>
        <v>16.3000167</v>
      </c>
      <c r="F65" s="428">
        <f>'Mobility 2 - Traffic DATA 2022'!F191</f>
        <v>7.2338550649999993</v>
      </c>
      <c r="G65" s="428">
        <f>'Mobility 2 - Traffic DATA 2022'!G191</f>
        <v>6.8368283224999997</v>
      </c>
      <c r="H65" s="429"/>
      <c r="I65" s="428">
        <f>'Mobility 2 - Traffic DATA 2022'!I191</f>
        <v>775.2970661971251</v>
      </c>
    </row>
    <row r="66" spans="1:9" s="297" customFormat="1" x14ac:dyDescent="0.25">
      <c r="A66" s="302"/>
      <c r="B66" s="302"/>
      <c r="C66" s="302"/>
      <c r="D66" s="302"/>
      <c r="E66" s="302"/>
      <c r="F66" s="302"/>
      <c r="G66" s="302"/>
      <c r="H66" s="303"/>
      <c r="I66" s="304"/>
    </row>
    <row r="67" spans="1:9" s="297" customFormat="1" x14ac:dyDescent="0.25"/>
    <row r="68" spans="1:9" s="297" customFormat="1" x14ac:dyDescent="0.25"/>
    <row r="69" spans="1:9" s="297" customFormat="1" x14ac:dyDescent="0.25"/>
    <row r="70" spans="1:9" s="297" customFormat="1" x14ac:dyDescent="0.25"/>
    <row r="71" spans="1:9" s="297" customFormat="1" x14ac:dyDescent="0.25"/>
    <row r="72" spans="1:9" s="297" customFormat="1" x14ac:dyDescent="0.25"/>
    <row r="73" spans="1:9" s="297" customFormat="1" x14ac:dyDescent="0.25"/>
    <row r="74" spans="1:9" s="297" customFormat="1" x14ac:dyDescent="0.25"/>
    <row r="75" spans="1:9" s="297" customFormat="1" x14ac:dyDescent="0.25"/>
    <row r="76" spans="1:9" s="297" customFormat="1" x14ac:dyDescent="0.25"/>
    <row r="77" spans="1:9" s="297" customFormat="1" x14ac:dyDescent="0.25"/>
    <row r="78" spans="1:9" s="297" customFormat="1" x14ac:dyDescent="0.25"/>
    <row r="79" spans="1:9" s="297" customFormat="1" x14ac:dyDescent="0.25"/>
    <row r="80" spans="1:9" s="297" customFormat="1" x14ac:dyDescent="0.25"/>
    <row r="81" spans="1:9" s="297" customFormat="1" x14ac:dyDescent="0.25"/>
    <row r="82" spans="1:9" s="297" customFormat="1" x14ac:dyDescent="0.25"/>
    <row r="83" spans="1:9" s="297" customFormat="1" x14ac:dyDescent="0.25"/>
    <row r="84" spans="1:9" s="297" customFormat="1" x14ac:dyDescent="0.25"/>
    <row r="85" spans="1:9" s="297" customFormat="1" x14ac:dyDescent="0.25"/>
    <row r="90" spans="1:9" x14ac:dyDescent="0.25">
      <c r="A90" t="s">
        <v>268</v>
      </c>
    </row>
    <row r="91" spans="1:9" x14ac:dyDescent="0.25">
      <c r="A91">
        <v>1</v>
      </c>
      <c r="B91" t="s">
        <v>288</v>
      </c>
    </row>
    <row r="92" spans="1:9" x14ac:dyDescent="0.25">
      <c r="A92">
        <v>2</v>
      </c>
      <c r="B92" t="s">
        <v>289</v>
      </c>
    </row>
    <row r="93" spans="1:9" x14ac:dyDescent="0.25">
      <c r="A93">
        <v>3</v>
      </c>
      <c r="B93" t="s">
        <v>290</v>
      </c>
    </row>
    <row r="94" spans="1:9" x14ac:dyDescent="0.25">
      <c r="A94">
        <v>4</v>
      </c>
      <c r="B94" s="508" t="s">
        <v>291</v>
      </c>
      <c r="C94" s="508"/>
      <c r="D94" s="508"/>
      <c r="E94" s="508"/>
      <c r="F94" s="508"/>
      <c r="G94" s="508"/>
      <c r="H94" s="508"/>
      <c r="I94" s="508"/>
    </row>
    <row r="95" spans="1:9" x14ac:dyDescent="0.25">
      <c r="B95" s="508"/>
      <c r="C95" s="508"/>
      <c r="D95" s="508"/>
      <c r="E95" s="508"/>
      <c r="F95" s="508"/>
      <c r="G95" s="508"/>
      <c r="H95" s="508"/>
      <c r="I95" s="508"/>
    </row>
    <row r="96" spans="1:9" x14ac:dyDescent="0.25">
      <c r="A96">
        <v>5</v>
      </c>
      <c r="B96" t="s">
        <v>292</v>
      </c>
    </row>
    <row r="97" spans="1:9" x14ac:dyDescent="0.25">
      <c r="A97">
        <v>6</v>
      </c>
      <c r="B97" s="469" t="s">
        <v>293</v>
      </c>
      <c r="C97" s="469"/>
      <c r="D97" s="469"/>
      <c r="E97" s="469"/>
      <c r="F97" s="469"/>
      <c r="G97" s="469"/>
      <c r="H97" s="469"/>
      <c r="I97" s="469"/>
    </row>
    <row r="98" spans="1:9" x14ac:dyDescent="0.25">
      <c r="B98" s="469"/>
      <c r="C98" s="469"/>
      <c r="D98" s="469"/>
      <c r="E98" s="469"/>
      <c r="F98" s="469"/>
      <c r="G98" s="469"/>
      <c r="H98" s="469"/>
      <c r="I98" s="469"/>
    </row>
    <row r="99" spans="1:9" x14ac:dyDescent="0.25">
      <c r="A99">
        <v>7</v>
      </c>
      <c r="B99" t="s">
        <v>294</v>
      </c>
    </row>
  </sheetData>
  <sheetProtection algorithmName="SHA-512" hashValue="IPj/8e+N6XqoFKNd3hvYHOKFfVtNTqacZMGITt0osJPJIFjHU+jOucBgYZ7PI/zBdcVgEna9FjfxtjDQIiOaSA==" saltValue="sH2AUHEO9WhCCnMlpwTvcQ==" spinCount="100000" sheet="1" selectLockedCells="1"/>
  <mergeCells count="27">
    <mergeCell ref="B94:I95"/>
    <mergeCell ref="B97:I98"/>
    <mergeCell ref="C11:G11"/>
    <mergeCell ref="C9:D9"/>
    <mergeCell ref="A5:C5"/>
    <mergeCell ref="D5:I5"/>
    <mergeCell ref="C14:D14"/>
    <mergeCell ref="A6:C6"/>
    <mergeCell ref="D6:I6"/>
    <mergeCell ref="A7:C7"/>
    <mergeCell ref="D7:I7"/>
    <mergeCell ref="A9:B9"/>
    <mergeCell ref="E9:F9"/>
    <mergeCell ref="G9:I9"/>
    <mergeCell ref="A11:B11"/>
    <mergeCell ref="C13:D13"/>
    <mergeCell ref="A1:I1"/>
    <mergeCell ref="A3:C3"/>
    <mergeCell ref="D3:I3"/>
    <mergeCell ref="A4:C4"/>
    <mergeCell ref="D4:I4"/>
    <mergeCell ref="C15:D15"/>
    <mergeCell ref="C16:D16"/>
    <mergeCell ref="A40:F40"/>
    <mergeCell ref="A51:F51"/>
    <mergeCell ref="C17:D17"/>
    <mergeCell ref="C18:D18"/>
  </mergeCells>
  <pageMargins left="0.43307086614173229" right="0.23622047244094491" top="0.74803149606299213" bottom="0.74803149606299213" header="0.31496062992125984" footer="0.31496062992125984"/>
  <pageSetup paperSize="9" orientation="portrait" r:id="rId1"/>
  <headerFooter>
    <oddHeader>&amp;LMALAYSIAN GREEN TECHNOLOGY AND CLIMATE CHANGE CORPORATION (MGTC)&amp;R&amp;10MGTC/DC/REC/LCC-011
Version:  1/ JUNE 2022</oddHeader>
    <oddFooter>&amp;L
&amp;A&amp;R
Page &amp;P of &amp;N</oddFooter>
  </headerFooter>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4570B-8293-4E8F-B740-C511B713A41C}">
  <sheetPr>
    <tabColor rgb="FF3333FF"/>
  </sheetPr>
  <dimension ref="A1:N310"/>
  <sheetViews>
    <sheetView view="pageLayout" zoomScale="85" zoomScaleNormal="100" zoomScalePageLayoutView="85" workbookViewId="0">
      <selection activeCell="C175" sqref="C175"/>
    </sheetView>
  </sheetViews>
  <sheetFormatPr defaultColWidth="9.140625" defaultRowHeight="15" x14ac:dyDescent="0.25"/>
  <cols>
    <col min="1" max="1" width="6.85546875" customWidth="1"/>
    <col min="2" max="2" width="20.7109375" customWidth="1"/>
    <col min="3" max="3" width="10.5703125" customWidth="1"/>
    <col min="4" max="7" width="9.5703125" customWidth="1"/>
    <col min="8" max="9" width="10.140625" customWidth="1"/>
    <col min="10" max="10" width="12.42578125" customWidth="1"/>
  </cols>
  <sheetData>
    <row r="1" spans="1:10" ht="16.5" thickBot="1" x14ac:dyDescent="0.3">
      <c r="A1" s="475" t="s">
        <v>136</v>
      </c>
      <c r="B1" s="476"/>
      <c r="C1" s="476"/>
      <c r="D1" s="476"/>
      <c r="E1" s="476"/>
      <c r="F1" s="476"/>
      <c r="G1" s="476"/>
      <c r="H1" s="476"/>
      <c r="I1" s="477"/>
    </row>
    <row r="2" spans="1:10" ht="6.75" customHeight="1" x14ac:dyDescent="0.25"/>
    <row r="3" spans="1:10" x14ac:dyDescent="0.25">
      <c r="A3" s="470" t="s">
        <v>27</v>
      </c>
      <c r="B3" s="470"/>
      <c r="C3" s="423" t="str">
        <f>'Summary (Main)'!D11</f>
        <v>LCC-Z-B090-XX-XXXX</v>
      </c>
      <c r="D3" s="423"/>
      <c r="E3" s="423"/>
      <c r="F3" s="423"/>
      <c r="G3" s="423"/>
      <c r="H3" s="423"/>
      <c r="I3" s="423"/>
    </row>
    <row r="4" spans="1:10" x14ac:dyDescent="0.25">
      <c r="A4" s="470" t="s">
        <v>78</v>
      </c>
      <c r="B4" s="470"/>
      <c r="C4" s="423" t="str">
        <f>'Summary (Main)'!D12</f>
        <v>MAJLIS PERBANDARAN XXY</v>
      </c>
      <c r="D4" s="423"/>
      <c r="E4" s="423"/>
      <c r="F4" s="423"/>
      <c r="G4" s="423"/>
      <c r="H4" s="423"/>
      <c r="I4" s="423"/>
    </row>
    <row r="5" spans="1:10" x14ac:dyDescent="0.25">
      <c r="A5" s="470" t="s">
        <v>0</v>
      </c>
      <c r="B5" s="470"/>
      <c r="C5" s="423" t="str">
        <f>'Summary (Main)'!D13</f>
        <v>MAJLIS PERBANDARAN XXY</v>
      </c>
      <c r="D5" s="423"/>
      <c r="E5" s="423"/>
      <c r="F5" s="423"/>
      <c r="G5" s="423"/>
      <c r="H5" s="423"/>
      <c r="I5" s="423"/>
    </row>
    <row r="6" spans="1:10" x14ac:dyDescent="0.25">
      <c r="A6" s="470" t="s">
        <v>129</v>
      </c>
      <c r="B6" s="470"/>
      <c r="C6" s="423">
        <f>'Summary (Main)'!D14</f>
        <v>77432</v>
      </c>
      <c r="D6" s="423"/>
      <c r="E6" s="423"/>
      <c r="F6" s="423"/>
      <c r="G6" s="423"/>
      <c r="H6" s="423"/>
      <c r="I6" s="423"/>
    </row>
    <row r="7" spans="1:10" x14ac:dyDescent="0.25">
      <c r="A7" s="470" t="s">
        <v>137</v>
      </c>
      <c r="B7" s="470"/>
      <c r="C7" s="423">
        <f>'Summary (Main)'!D15</f>
        <v>451.36</v>
      </c>
      <c r="D7" s="423"/>
      <c r="E7" s="423"/>
      <c r="F7" s="423"/>
      <c r="G7" s="423"/>
      <c r="H7" s="423"/>
      <c r="I7" s="423"/>
    </row>
    <row r="8" spans="1:10" ht="6.75" customHeight="1" x14ac:dyDescent="0.25">
      <c r="A8" s="5"/>
      <c r="B8" s="5"/>
      <c r="C8" s="5"/>
      <c r="D8" s="5"/>
    </row>
    <row r="9" spans="1:10" x14ac:dyDescent="0.25">
      <c r="A9" s="1" t="s">
        <v>7</v>
      </c>
      <c r="B9" s="1"/>
      <c r="C9" s="580" t="s">
        <v>240</v>
      </c>
      <c r="D9" s="581"/>
      <c r="F9" s="498" t="s">
        <v>12</v>
      </c>
      <c r="G9" s="498"/>
      <c r="H9" s="501" t="s">
        <v>60</v>
      </c>
      <c r="I9" s="502"/>
      <c r="J9" s="194"/>
    </row>
    <row r="10" spans="1:10" x14ac:dyDescent="0.25">
      <c r="A10" s="1" t="s">
        <v>6</v>
      </c>
      <c r="B10" s="1"/>
      <c r="C10" s="503" t="s">
        <v>139</v>
      </c>
      <c r="D10" s="504"/>
      <c r="E10" s="504"/>
      <c r="F10" s="504"/>
      <c r="G10" s="510"/>
    </row>
    <row r="11" spans="1:10" ht="15" hidden="1" customHeight="1" x14ac:dyDescent="0.25">
      <c r="A11" s="190" t="s">
        <v>127</v>
      </c>
      <c r="B11" s="190"/>
      <c r="C11" s="178" t="s">
        <v>245</v>
      </c>
      <c r="D11" s="178"/>
      <c r="E11" s="178"/>
      <c r="F11" s="178"/>
      <c r="G11" s="178"/>
      <c r="H11" s="178"/>
      <c r="I11" s="178"/>
      <c r="J11" s="178"/>
    </row>
    <row r="12" spans="1:10" ht="15" hidden="1" customHeight="1" x14ac:dyDescent="0.25">
      <c r="A12" s="1" t="s">
        <v>9</v>
      </c>
      <c r="B12" s="1"/>
      <c r="D12" t="s">
        <v>68</v>
      </c>
      <c r="F12" s="13">
        <f>'Mobility 2 - Estimate'!G13</f>
        <v>1.92</v>
      </c>
      <c r="G12" t="s">
        <v>71</v>
      </c>
      <c r="I12" s="194" t="s">
        <v>72</v>
      </c>
      <c r="J12" s="194"/>
    </row>
    <row r="13" spans="1:10" ht="15" hidden="1" customHeight="1" x14ac:dyDescent="0.25">
      <c r="D13" t="s">
        <v>69</v>
      </c>
      <c r="F13" s="13">
        <f>'Mobility 2 - Estimate'!G14</f>
        <v>2.74</v>
      </c>
      <c r="G13" t="s">
        <v>71</v>
      </c>
      <c r="I13" s="194" t="s">
        <v>72</v>
      </c>
      <c r="J13" s="194"/>
    </row>
    <row r="14" spans="1:10" ht="15" hidden="1" customHeight="1" x14ac:dyDescent="0.25">
      <c r="D14" t="s">
        <v>70</v>
      </c>
      <c r="F14" s="13">
        <f>'Mobility 2 - Estimate'!G15</f>
        <v>59.19</v>
      </c>
      <c r="G14" t="s">
        <v>81</v>
      </c>
      <c r="I14" s="194" t="s">
        <v>72</v>
      </c>
      <c r="J14" s="194"/>
    </row>
    <row r="15" spans="1:10" ht="15" hidden="1" customHeight="1" x14ac:dyDescent="0.25">
      <c r="D15" t="s">
        <v>61</v>
      </c>
      <c r="F15" s="13">
        <f>'Mobility 2 - Estimate'!G16</f>
        <v>0.18368000000000001</v>
      </c>
      <c r="G15" t="s">
        <v>62</v>
      </c>
      <c r="I15" s="194" t="s">
        <v>63</v>
      </c>
      <c r="J15" s="194"/>
    </row>
    <row r="16" spans="1:10" ht="15" hidden="1" customHeight="1" x14ac:dyDescent="0.25">
      <c r="D16" t="s">
        <v>64</v>
      </c>
      <c r="F16" s="13">
        <f>'Mobility 2 - Estimate'!G17</f>
        <v>0.11529</v>
      </c>
      <c r="G16" t="s">
        <v>62</v>
      </c>
      <c r="I16" s="194" t="s">
        <v>63</v>
      </c>
      <c r="J16" s="194"/>
    </row>
    <row r="17" spans="4:10" ht="15" hidden="1" customHeight="1" x14ac:dyDescent="0.25">
      <c r="D17" t="s">
        <v>65</v>
      </c>
      <c r="F17" s="13">
        <f>'Mobility 2 - Estimate'!G18</f>
        <v>0.79100000000000004</v>
      </c>
      <c r="G17" t="s">
        <v>62</v>
      </c>
      <c r="I17" s="194" t="s">
        <v>66</v>
      </c>
      <c r="J17" s="194"/>
    </row>
    <row r="18" spans="4:10" ht="15" hidden="1" customHeight="1" x14ac:dyDescent="0.25">
      <c r="D18" s="204" t="s">
        <v>250</v>
      </c>
      <c r="E18" s="6"/>
      <c r="F18" s="13">
        <f>'Mobility 2 - Estimate'!G19</f>
        <v>59.4</v>
      </c>
      <c r="G18" s="3" t="s">
        <v>182</v>
      </c>
      <c r="H18" s="3"/>
      <c r="I18" s="182"/>
      <c r="J18" s="182"/>
    </row>
    <row r="19" spans="4:10" ht="15" hidden="1" customHeight="1" x14ac:dyDescent="0.25">
      <c r="D19" s="6" t="s">
        <v>183</v>
      </c>
      <c r="E19" s="6"/>
      <c r="F19" s="13">
        <f>'Mobility 2 - Estimate'!G20</f>
        <v>98.8</v>
      </c>
      <c r="G19" s="3" t="s">
        <v>182</v>
      </c>
      <c r="H19" s="3"/>
      <c r="I19" s="182"/>
      <c r="J19" s="182"/>
    </row>
    <row r="20" spans="4:10" ht="15" hidden="1" customHeight="1" x14ac:dyDescent="0.25">
      <c r="D20" s="6" t="s">
        <v>184</v>
      </c>
      <c r="E20" s="6"/>
      <c r="F20" s="13">
        <f>'Mobility 2 - Estimate'!G21</f>
        <v>125</v>
      </c>
      <c r="G20" s="3" t="s">
        <v>182</v>
      </c>
      <c r="H20" s="3"/>
      <c r="I20" s="182"/>
      <c r="J20" s="182"/>
    </row>
    <row r="21" spans="4:10" ht="15" hidden="1" customHeight="1" x14ac:dyDescent="0.25">
      <c r="D21" s="204" t="s">
        <v>255</v>
      </c>
      <c r="E21" s="6"/>
      <c r="F21" s="13">
        <f>'Mobility 2 - Estimate'!G22</f>
        <v>273</v>
      </c>
      <c r="G21" s="3" t="s">
        <v>182</v>
      </c>
      <c r="H21" s="3"/>
      <c r="I21" s="182"/>
      <c r="J21" s="182"/>
    </row>
    <row r="22" spans="4:10" ht="15" hidden="1" customHeight="1" x14ac:dyDescent="0.25">
      <c r="D22" s="204" t="s">
        <v>254</v>
      </c>
      <c r="E22" s="6"/>
      <c r="F22" s="13">
        <f>'Mobility 2 - Estimate'!G23</f>
        <v>228</v>
      </c>
      <c r="G22" s="3" t="s">
        <v>182</v>
      </c>
      <c r="H22" s="3"/>
      <c r="I22" s="182"/>
      <c r="J22" s="182"/>
    </row>
    <row r="23" spans="4:10" ht="15" hidden="1" customHeight="1" x14ac:dyDescent="0.25">
      <c r="D23" s="204" t="s">
        <v>253</v>
      </c>
      <c r="E23" s="6"/>
      <c r="F23" s="13">
        <f>'Mobility 2 - Estimate'!G24</f>
        <v>203</v>
      </c>
      <c r="G23" s="3" t="s">
        <v>182</v>
      </c>
      <c r="H23" s="3"/>
      <c r="I23" s="182"/>
      <c r="J23" s="182"/>
    </row>
    <row r="24" spans="4:10" ht="15" hidden="1" customHeight="1" x14ac:dyDescent="0.25">
      <c r="D24" s="6" t="s">
        <v>185</v>
      </c>
      <c r="E24" s="6"/>
      <c r="F24" s="13">
        <f>'Mobility 2 - Estimate'!G25</f>
        <v>193</v>
      </c>
      <c r="G24" s="3" t="s">
        <v>182</v>
      </c>
      <c r="H24" s="3"/>
      <c r="I24" s="182"/>
      <c r="J24" s="182"/>
    </row>
    <row r="25" spans="4:10" ht="15" hidden="1" customHeight="1" x14ac:dyDescent="0.25">
      <c r="D25" s="6" t="s">
        <v>186</v>
      </c>
      <c r="E25" s="6"/>
      <c r="F25" s="13">
        <f>'Mobility 2 - Estimate'!G26</f>
        <v>221</v>
      </c>
      <c r="G25" s="3" t="s">
        <v>182</v>
      </c>
      <c r="H25" s="3"/>
      <c r="I25" s="182"/>
      <c r="J25" s="182"/>
    </row>
    <row r="26" spans="4:10" ht="15" hidden="1" customHeight="1" x14ac:dyDescent="0.25">
      <c r="D26" s="113" t="s">
        <v>208</v>
      </c>
      <c r="E26" s="6"/>
      <c r="F26" s="13">
        <f>'Mobility 2 - Estimate'!G27</f>
        <v>379</v>
      </c>
      <c r="G26" s="3" t="s">
        <v>182</v>
      </c>
      <c r="H26" s="3"/>
      <c r="I26" s="182"/>
      <c r="J26" s="182"/>
    </row>
    <row r="27" spans="4:10" ht="15" hidden="1" customHeight="1" x14ac:dyDescent="0.25">
      <c r="D27" s="113" t="s">
        <v>209</v>
      </c>
      <c r="E27" s="6"/>
      <c r="F27" s="13">
        <f>'Mobility 2 - Estimate'!G28</f>
        <v>148</v>
      </c>
      <c r="G27" s="3" t="s">
        <v>182</v>
      </c>
      <c r="H27" s="3"/>
      <c r="I27" s="182"/>
      <c r="J27" s="182"/>
    </row>
    <row r="28" spans="4:10" ht="15" hidden="1" customHeight="1" x14ac:dyDescent="0.25">
      <c r="D28" s="6" t="s">
        <v>187</v>
      </c>
      <c r="E28" s="6"/>
      <c r="F28" s="13">
        <f>'Mobility 2 - Estimate'!G29</f>
        <v>329</v>
      </c>
      <c r="G28" s="3" t="s">
        <v>182</v>
      </c>
      <c r="H28" s="3"/>
      <c r="I28" s="182"/>
      <c r="J28" s="182"/>
    </row>
    <row r="29" spans="4:10" ht="15" hidden="1" customHeight="1" x14ac:dyDescent="0.25">
      <c r="D29" s="113" t="s">
        <v>211</v>
      </c>
      <c r="E29" s="6"/>
      <c r="F29" s="13">
        <f>'Mobility 2 - Estimate'!G30</f>
        <v>286</v>
      </c>
      <c r="G29" s="3" t="s">
        <v>182</v>
      </c>
      <c r="H29" s="3"/>
      <c r="I29" s="182"/>
      <c r="J29" s="182"/>
    </row>
    <row r="30" spans="4:10" ht="15" hidden="1" customHeight="1" x14ac:dyDescent="0.25">
      <c r="D30" s="6" t="s">
        <v>188</v>
      </c>
      <c r="E30" s="6"/>
      <c r="F30" s="13">
        <f>'Mobility 2 - Estimate'!G31</f>
        <v>781</v>
      </c>
      <c r="G30" s="3" t="s">
        <v>182</v>
      </c>
      <c r="H30" s="3"/>
      <c r="I30" s="182"/>
      <c r="J30" s="182"/>
    </row>
    <row r="31" spans="4:10" ht="15" hidden="1" customHeight="1" x14ac:dyDescent="0.25">
      <c r="D31" s="113" t="s">
        <v>205</v>
      </c>
      <c r="E31" s="6"/>
      <c r="F31" s="13">
        <f>'Mobility 2 - Estimate'!G32</f>
        <v>329</v>
      </c>
      <c r="G31" s="3" t="s">
        <v>182</v>
      </c>
      <c r="H31" s="3"/>
      <c r="I31" s="182"/>
      <c r="J31" s="182"/>
    </row>
    <row r="32" spans="4:10" ht="15" hidden="1" customHeight="1" x14ac:dyDescent="0.25">
      <c r="D32" s="6" t="s">
        <v>189</v>
      </c>
      <c r="E32" s="6"/>
      <c r="F32" s="13">
        <f>'Mobility 2 - Estimate'!G33</f>
        <v>286</v>
      </c>
      <c r="G32" s="3" t="s">
        <v>182</v>
      </c>
      <c r="H32" s="3"/>
      <c r="I32" s="182"/>
      <c r="J32" s="182"/>
    </row>
    <row r="33" spans="1:10" ht="15" hidden="1" customHeight="1" x14ac:dyDescent="0.25">
      <c r="D33" s="6" t="s">
        <v>190</v>
      </c>
      <c r="E33" s="6"/>
      <c r="F33" s="13">
        <f>'Mobility 2 - Estimate'!G34</f>
        <v>781</v>
      </c>
      <c r="G33" s="3" t="s">
        <v>182</v>
      </c>
      <c r="H33" s="3"/>
      <c r="I33" s="182"/>
      <c r="J33" s="182"/>
    </row>
    <row r="34" spans="1:10" ht="15" hidden="1" customHeight="1" x14ac:dyDescent="0.25">
      <c r="D34" s="204" t="s">
        <v>256</v>
      </c>
      <c r="E34" s="6"/>
      <c r="F34" s="13">
        <f>'Mobility 2 - Estimate'!G35</f>
        <v>1110</v>
      </c>
      <c r="G34" s="3" t="s">
        <v>182</v>
      </c>
      <c r="H34" s="3"/>
      <c r="I34" s="182"/>
      <c r="J34" s="182"/>
    </row>
    <row r="35" spans="1:10" ht="15" hidden="1" customHeight="1" x14ac:dyDescent="0.25">
      <c r="D35" s="204" t="s">
        <v>257</v>
      </c>
      <c r="E35" s="6"/>
      <c r="F35" s="13">
        <f>'Mobility 2 - Estimate'!G36</f>
        <v>613</v>
      </c>
      <c r="G35" s="3" t="s">
        <v>182</v>
      </c>
      <c r="H35" s="3"/>
      <c r="I35" s="182"/>
      <c r="J35" s="182"/>
    </row>
    <row r="36" spans="1:10" ht="15" hidden="1" customHeight="1" x14ac:dyDescent="0.25">
      <c r="D36" s="204" t="s">
        <v>258</v>
      </c>
      <c r="E36" s="6"/>
      <c r="F36" s="13">
        <f>'Mobility 2 - Estimate'!G37</f>
        <v>1200</v>
      </c>
      <c r="G36" s="3" t="s">
        <v>182</v>
      </c>
      <c r="H36" s="3"/>
      <c r="I36" s="182"/>
      <c r="J36" s="182"/>
    </row>
    <row r="37" spans="1:10" ht="15" hidden="1" customHeight="1" x14ac:dyDescent="0.25">
      <c r="D37" s="204" t="s">
        <v>259</v>
      </c>
      <c r="E37" s="6"/>
      <c r="F37" s="13">
        <f>'Mobility 2 - Estimate'!G38</f>
        <v>909</v>
      </c>
      <c r="G37" s="3" t="s">
        <v>182</v>
      </c>
      <c r="H37" s="3"/>
      <c r="I37" s="182"/>
      <c r="J37" s="182"/>
    </row>
    <row r="38" spans="1:10" ht="14.25" hidden="1" customHeight="1" x14ac:dyDescent="0.25">
      <c r="A38" s="1"/>
      <c r="B38" s="1"/>
      <c r="D38" s="6"/>
      <c r="G38" s="3"/>
      <c r="H38" s="3"/>
      <c r="I38" s="182"/>
      <c r="J38" s="182"/>
    </row>
    <row r="39" spans="1:10" s="189" customFormat="1" ht="15" hidden="1" customHeight="1" x14ac:dyDescent="0.25">
      <c r="A39" s="47" t="s">
        <v>127</v>
      </c>
      <c r="B39" s="47"/>
      <c r="C39" s="43" t="s">
        <v>246</v>
      </c>
      <c r="D39" s="190"/>
      <c r="E39" s="190"/>
      <c r="F39" s="191"/>
      <c r="G39" s="192"/>
      <c r="H39" s="192"/>
      <c r="I39" s="193"/>
      <c r="J39" s="193"/>
    </row>
    <row r="40" spans="1:10" s="172" customFormat="1" ht="15" hidden="1" customHeight="1" x14ac:dyDescent="0.25">
      <c r="A40" s="47" t="s">
        <v>127</v>
      </c>
      <c r="B40" s="47"/>
      <c r="C40" s="43" t="s">
        <v>215</v>
      </c>
      <c r="D40" s="173"/>
      <c r="E40" s="173"/>
      <c r="F40" s="174"/>
      <c r="G40" s="175"/>
      <c r="H40" s="175"/>
      <c r="I40" s="176"/>
      <c r="J40" s="176"/>
    </row>
    <row r="41" spans="1:10" ht="33.75" hidden="1" customHeight="1" x14ac:dyDescent="0.25">
      <c r="C41" s="158">
        <v>2</v>
      </c>
      <c r="D41" s="171" t="s">
        <v>216</v>
      </c>
      <c r="E41" s="155" t="s">
        <v>166</v>
      </c>
      <c r="F41" s="155" t="s">
        <v>69</v>
      </c>
      <c r="G41" s="155" t="s">
        <v>70</v>
      </c>
      <c r="H41" s="159" t="s">
        <v>220</v>
      </c>
      <c r="I41" s="182"/>
      <c r="J41" s="182"/>
    </row>
    <row r="42" spans="1:10" ht="15" hidden="1" customHeight="1" x14ac:dyDescent="0.25">
      <c r="D42" s="156" t="s">
        <v>147</v>
      </c>
      <c r="E42" s="162">
        <v>100</v>
      </c>
      <c r="F42" s="157"/>
      <c r="G42" s="157"/>
      <c r="H42" s="169">
        <f>SUM(E42)</f>
        <v>100</v>
      </c>
      <c r="I42" s="182"/>
      <c r="J42" s="182"/>
    </row>
    <row r="43" spans="1:10" ht="15" hidden="1" customHeight="1" x14ac:dyDescent="0.25">
      <c r="D43" s="156" t="s">
        <v>217</v>
      </c>
      <c r="E43" s="162">
        <v>95</v>
      </c>
      <c r="F43" s="162">
        <v>0</v>
      </c>
      <c r="G43" s="162">
        <v>5</v>
      </c>
      <c r="H43" s="169">
        <f>SUM(E43:G43)</f>
        <v>100</v>
      </c>
      <c r="I43" s="182"/>
      <c r="J43" s="182"/>
    </row>
    <row r="44" spans="1:10" ht="15" hidden="1" customHeight="1" x14ac:dyDescent="0.25">
      <c r="D44" s="156" t="s">
        <v>149</v>
      </c>
      <c r="E44" s="162">
        <v>90</v>
      </c>
      <c r="F44" s="162">
        <v>10</v>
      </c>
      <c r="G44" s="157"/>
      <c r="H44" s="169">
        <f>SUM(E44:F44)</f>
        <v>100</v>
      </c>
      <c r="I44" s="182"/>
      <c r="J44" s="182"/>
    </row>
    <row r="45" spans="1:10" ht="15" hidden="1" customHeight="1" x14ac:dyDescent="0.25">
      <c r="D45" s="156" t="s">
        <v>150</v>
      </c>
      <c r="E45" s="157"/>
      <c r="F45" s="162">
        <v>100</v>
      </c>
      <c r="G45" s="157"/>
      <c r="H45" s="169">
        <f>SUM(E45:G45)</f>
        <v>100</v>
      </c>
      <c r="I45" s="182"/>
      <c r="J45" s="182"/>
    </row>
    <row r="46" spans="1:10" ht="15" hidden="1" customHeight="1" x14ac:dyDescent="0.25">
      <c r="D46" s="156" t="s">
        <v>218</v>
      </c>
      <c r="E46" s="162">
        <v>10</v>
      </c>
      <c r="F46" s="162">
        <v>90</v>
      </c>
      <c r="G46" s="157"/>
      <c r="H46" s="169">
        <f>SUM(E46:G46)</f>
        <v>100</v>
      </c>
      <c r="I46" s="182"/>
      <c r="J46" s="182"/>
    </row>
    <row r="47" spans="1:10" ht="15" hidden="1" customHeight="1" x14ac:dyDescent="0.25">
      <c r="D47" s="156" t="s">
        <v>219</v>
      </c>
      <c r="E47" s="162">
        <v>0</v>
      </c>
      <c r="F47" s="162">
        <v>90</v>
      </c>
      <c r="G47" s="162">
        <v>10</v>
      </c>
      <c r="H47" s="169">
        <f>SUM(E47:G47)</f>
        <v>100</v>
      </c>
      <c r="I47" s="182"/>
      <c r="J47" s="182"/>
    </row>
    <row r="48" spans="1:10" ht="15" hidden="1" customHeight="1" x14ac:dyDescent="0.25">
      <c r="D48" s="6"/>
      <c r="E48" s="6"/>
      <c r="F48" s="13"/>
      <c r="G48" s="3"/>
      <c r="H48" s="3"/>
      <c r="I48" s="182"/>
      <c r="J48" s="182"/>
    </row>
    <row r="49" spans="3:14" ht="15" hidden="1" customHeight="1" x14ac:dyDescent="0.25">
      <c r="C49" s="164">
        <v>3</v>
      </c>
      <c r="D49" s="5" t="s">
        <v>229</v>
      </c>
      <c r="E49" s="6"/>
      <c r="F49" s="13"/>
      <c r="G49" s="3"/>
      <c r="H49" s="3"/>
      <c r="I49" s="182"/>
      <c r="J49" s="182"/>
    </row>
    <row r="50" spans="3:14" s="151" customFormat="1" ht="51" hidden="1" customHeight="1" x14ac:dyDescent="0.2">
      <c r="D50" s="165" t="s">
        <v>221</v>
      </c>
      <c r="E50" s="163" t="s">
        <v>206</v>
      </c>
      <c r="F50" s="163" t="s">
        <v>222</v>
      </c>
      <c r="G50" s="163" t="s">
        <v>223</v>
      </c>
      <c r="H50" s="163" t="s">
        <v>224</v>
      </c>
      <c r="I50" s="163" t="s">
        <v>225</v>
      </c>
      <c r="J50" s="163" t="s">
        <v>226</v>
      </c>
      <c r="K50" s="163" t="s">
        <v>227</v>
      </c>
      <c r="L50" s="163" t="s">
        <v>167</v>
      </c>
      <c r="M50" s="163" t="s">
        <v>168</v>
      </c>
      <c r="N50" s="163" t="s">
        <v>228</v>
      </c>
    </row>
    <row r="51" spans="3:14" ht="15" hidden="1" customHeight="1" x14ac:dyDescent="0.25">
      <c r="D51" s="162" t="s">
        <v>147</v>
      </c>
      <c r="E51" s="157"/>
      <c r="F51" s="157"/>
      <c r="G51" s="157"/>
      <c r="H51" s="157"/>
      <c r="I51" s="157"/>
      <c r="J51" s="157"/>
      <c r="K51" s="162">
        <v>5</v>
      </c>
      <c r="L51" s="162">
        <v>20</v>
      </c>
      <c r="M51" s="162">
        <v>75</v>
      </c>
      <c r="N51" s="170">
        <f>SUM(K51:M51)</f>
        <v>100</v>
      </c>
    </row>
    <row r="52" spans="3:14" ht="15" hidden="1" customHeight="1" x14ac:dyDescent="0.25">
      <c r="D52" s="162" t="s">
        <v>217</v>
      </c>
      <c r="E52" s="162">
        <v>5</v>
      </c>
      <c r="F52" s="157"/>
      <c r="G52" s="162">
        <v>5</v>
      </c>
      <c r="H52" s="162">
        <v>10</v>
      </c>
      <c r="I52" s="162">
        <v>30</v>
      </c>
      <c r="J52" s="162">
        <v>50</v>
      </c>
      <c r="K52" s="157"/>
      <c r="L52" s="157"/>
      <c r="M52" s="157"/>
      <c r="N52" s="170">
        <f>SUM(E52,G52:J52)</f>
        <v>100</v>
      </c>
    </row>
    <row r="53" spans="3:14" ht="15" hidden="1" customHeight="1" x14ac:dyDescent="0.25">
      <c r="D53" s="162" t="s">
        <v>149</v>
      </c>
      <c r="E53" s="157"/>
      <c r="F53" s="162">
        <v>100</v>
      </c>
      <c r="G53" s="157"/>
      <c r="H53" s="157"/>
      <c r="I53" s="157"/>
      <c r="J53" s="157"/>
      <c r="K53" s="157"/>
      <c r="L53" s="157"/>
      <c r="M53" s="157"/>
      <c r="N53" s="170">
        <f>SUM(F53)</f>
        <v>100</v>
      </c>
    </row>
    <row r="54" spans="3:14" ht="15" hidden="1" customHeight="1" x14ac:dyDescent="0.25">
      <c r="D54" s="162" t="s">
        <v>150</v>
      </c>
      <c r="E54" s="157"/>
      <c r="F54" s="157"/>
      <c r="G54" s="157"/>
      <c r="H54" s="157"/>
      <c r="I54" s="157"/>
      <c r="J54" s="157"/>
      <c r="K54" s="157"/>
      <c r="L54" s="157"/>
      <c r="M54" s="157"/>
      <c r="N54" s="170">
        <v>0</v>
      </c>
    </row>
    <row r="55" spans="3:14" ht="15" hidden="1" customHeight="1" x14ac:dyDescent="0.25">
      <c r="D55" s="162" t="s">
        <v>218</v>
      </c>
      <c r="E55" s="157"/>
      <c r="F55" s="162">
        <v>100</v>
      </c>
      <c r="G55" s="157"/>
      <c r="H55" s="157"/>
      <c r="I55" s="157"/>
      <c r="J55" s="157"/>
      <c r="K55" s="157"/>
      <c r="L55" s="157"/>
      <c r="M55" s="157"/>
      <c r="N55" s="170">
        <f>SUM(F55)</f>
        <v>100</v>
      </c>
    </row>
    <row r="56" spans="3:14" ht="15" hidden="1" customHeight="1" x14ac:dyDescent="0.25">
      <c r="D56" s="162" t="s">
        <v>219</v>
      </c>
      <c r="E56" s="162">
        <f xml:space="preserve"> [1]Fleet!D34/100 * [1]Calc1!D37</f>
        <v>0</v>
      </c>
      <c r="F56" s="157"/>
      <c r="G56" s="157"/>
      <c r="H56" s="157"/>
      <c r="I56" s="157"/>
      <c r="J56" s="157"/>
      <c r="K56" s="157"/>
      <c r="L56" s="157"/>
      <c r="M56" s="157"/>
      <c r="N56" s="170">
        <f>SUM(E56)</f>
        <v>0</v>
      </c>
    </row>
    <row r="57" spans="3:14" ht="15" hidden="1" customHeight="1" x14ac:dyDescent="0.25">
      <c r="D57" s="5" t="s">
        <v>232</v>
      </c>
      <c r="E57" s="6"/>
      <c r="F57" s="13"/>
      <c r="G57" s="3"/>
      <c r="H57" s="3"/>
      <c r="I57" s="182"/>
      <c r="J57" s="182"/>
    </row>
    <row r="58" spans="3:14" ht="60" hidden="1" customHeight="1" x14ac:dyDescent="0.25">
      <c r="D58" s="160" t="s">
        <v>230</v>
      </c>
      <c r="E58" s="161" t="s">
        <v>222</v>
      </c>
      <c r="F58" s="161" t="s">
        <v>231</v>
      </c>
      <c r="G58" s="3"/>
      <c r="H58" s="3"/>
      <c r="I58" s="182"/>
      <c r="J58" s="182"/>
    </row>
    <row r="59" spans="3:14" ht="15" hidden="1" customHeight="1" x14ac:dyDescent="0.25">
      <c r="D59" s="162" t="s">
        <v>147</v>
      </c>
      <c r="E59" s="157"/>
      <c r="F59" s="169">
        <v>0</v>
      </c>
      <c r="G59" s="3"/>
      <c r="H59" s="3"/>
      <c r="I59" s="182"/>
      <c r="J59" s="182"/>
    </row>
    <row r="60" spans="3:14" ht="15" hidden="1" customHeight="1" x14ac:dyDescent="0.25">
      <c r="D60" s="162" t="s">
        <v>217</v>
      </c>
      <c r="E60" s="162">
        <f xml:space="preserve"> [1]Fleet!D40/100 * [1]Calc1!E33</f>
        <v>0</v>
      </c>
      <c r="F60" s="169">
        <f>SUM(E60)</f>
        <v>0</v>
      </c>
      <c r="G60" s="3"/>
      <c r="H60" s="3"/>
      <c r="I60" s="182"/>
      <c r="J60" s="182"/>
    </row>
    <row r="61" spans="3:14" ht="15" hidden="1" customHeight="1" x14ac:dyDescent="0.25">
      <c r="D61" s="162" t="s">
        <v>149</v>
      </c>
      <c r="E61" s="162">
        <v>100</v>
      </c>
      <c r="F61" s="169">
        <f>SUM(E61)</f>
        <v>100</v>
      </c>
      <c r="G61" s="3"/>
      <c r="H61" s="3"/>
      <c r="I61" s="182"/>
      <c r="J61" s="182"/>
    </row>
    <row r="62" spans="3:14" ht="15" hidden="1" customHeight="1" x14ac:dyDescent="0.25">
      <c r="D62" s="162" t="s">
        <v>150</v>
      </c>
      <c r="E62" s="162">
        <v>100</v>
      </c>
      <c r="F62" s="169">
        <f>SUM(E62)</f>
        <v>100</v>
      </c>
      <c r="G62" s="3"/>
      <c r="H62" s="3"/>
      <c r="I62" s="182"/>
      <c r="J62" s="182"/>
    </row>
    <row r="63" spans="3:14" ht="15" hidden="1" customHeight="1" x14ac:dyDescent="0.25">
      <c r="D63" s="162" t="s">
        <v>218</v>
      </c>
      <c r="E63" s="162">
        <v>100</v>
      </c>
      <c r="F63" s="169">
        <f>SUM(E63)</f>
        <v>100</v>
      </c>
      <c r="G63" s="3"/>
      <c r="H63" s="3"/>
      <c r="I63" s="182"/>
      <c r="J63" s="182"/>
    </row>
    <row r="64" spans="3:14" ht="15" hidden="1" customHeight="1" x14ac:dyDescent="0.25">
      <c r="D64" s="162" t="s">
        <v>219</v>
      </c>
      <c r="E64" s="162">
        <v>100</v>
      </c>
      <c r="F64" s="169">
        <f>SUM(E64)</f>
        <v>100</v>
      </c>
      <c r="G64" s="3"/>
      <c r="H64" s="3"/>
      <c r="I64" s="182"/>
      <c r="J64" s="182"/>
    </row>
    <row r="65" spans="1:11" ht="15" hidden="1" customHeight="1" x14ac:dyDescent="0.25">
      <c r="D65" s="166"/>
      <c r="E65" s="166"/>
      <c r="F65" s="166"/>
      <c r="G65" s="3"/>
      <c r="H65" s="3"/>
      <c r="I65" s="182"/>
      <c r="J65" s="182"/>
    </row>
    <row r="66" spans="1:11" ht="15" hidden="1" customHeight="1" x14ac:dyDescent="0.25">
      <c r="D66" s="5" t="s">
        <v>70</v>
      </c>
      <c r="E66" s="6"/>
      <c r="F66" s="13"/>
      <c r="G66" s="3"/>
      <c r="H66" s="3"/>
      <c r="I66" s="182"/>
      <c r="J66" s="182"/>
    </row>
    <row r="67" spans="1:11" ht="75" hidden="1" customHeight="1" x14ac:dyDescent="0.25">
      <c r="D67" s="167" t="s">
        <v>233</v>
      </c>
      <c r="E67" s="161" t="s">
        <v>206</v>
      </c>
      <c r="F67" s="161" t="s">
        <v>234</v>
      </c>
      <c r="G67" s="161" t="s">
        <v>235</v>
      </c>
      <c r="H67" s="161" t="s">
        <v>236</v>
      </c>
      <c r="I67" s="161" t="s">
        <v>237</v>
      </c>
      <c r="J67" s="161" t="s">
        <v>238</v>
      </c>
      <c r="K67" s="161" t="s">
        <v>239</v>
      </c>
    </row>
    <row r="68" spans="1:11" ht="15" hidden="1" customHeight="1" x14ac:dyDescent="0.25">
      <c r="D68" s="162" t="s">
        <v>147</v>
      </c>
      <c r="E68" s="157"/>
      <c r="F68" s="157"/>
      <c r="G68" s="157"/>
      <c r="H68" s="157"/>
      <c r="I68" s="157"/>
      <c r="J68" s="157"/>
      <c r="K68" s="169">
        <v>0</v>
      </c>
    </row>
    <row r="69" spans="1:11" ht="15" hidden="1" customHeight="1" x14ac:dyDescent="0.25">
      <c r="D69" s="162" t="s">
        <v>217</v>
      </c>
      <c r="E69" s="162">
        <v>50</v>
      </c>
      <c r="F69" s="162">
        <v>50</v>
      </c>
      <c r="G69" s="157"/>
      <c r="H69" s="157"/>
      <c r="I69" s="157"/>
      <c r="J69" s="157"/>
      <c r="K69" s="169">
        <f>SUM(E69:F69)</f>
        <v>100</v>
      </c>
    </row>
    <row r="70" spans="1:11" ht="15" hidden="1" customHeight="1" x14ac:dyDescent="0.25">
      <c r="D70" s="162" t="s">
        <v>149</v>
      </c>
      <c r="E70" s="157"/>
      <c r="F70" s="157"/>
      <c r="G70" s="157"/>
      <c r="H70" s="157"/>
      <c r="I70" s="157"/>
      <c r="J70" s="157"/>
      <c r="K70" s="169">
        <v>0</v>
      </c>
    </row>
    <row r="71" spans="1:11" ht="15" hidden="1" customHeight="1" x14ac:dyDescent="0.25">
      <c r="D71" s="162" t="s">
        <v>150</v>
      </c>
      <c r="E71" s="157"/>
      <c r="F71" s="157"/>
      <c r="G71" s="157"/>
      <c r="H71" s="157"/>
      <c r="I71" s="157"/>
      <c r="J71" s="157"/>
      <c r="K71" s="169">
        <v>0</v>
      </c>
    </row>
    <row r="72" spans="1:11" ht="15" hidden="1" customHeight="1" x14ac:dyDescent="0.25">
      <c r="D72" s="162" t="s">
        <v>218</v>
      </c>
      <c r="E72" s="157"/>
      <c r="F72" s="157"/>
      <c r="G72" s="157"/>
      <c r="H72" s="157"/>
      <c r="I72" s="157"/>
      <c r="J72" s="157"/>
      <c r="K72" s="169">
        <v>0</v>
      </c>
    </row>
    <row r="73" spans="1:11" ht="15" hidden="1" customHeight="1" x14ac:dyDescent="0.25">
      <c r="D73" s="162" t="s">
        <v>219</v>
      </c>
      <c r="E73" s="157"/>
      <c r="F73" s="157"/>
      <c r="G73" s="162">
        <v>50</v>
      </c>
      <c r="H73" s="162">
        <v>40</v>
      </c>
      <c r="I73" s="162">
        <v>0</v>
      </c>
      <c r="J73" s="162">
        <v>10</v>
      </c>
      <c r="K73" s="169">
        <f>SUM(G73:J73)</f>
        <v>100</v>
      </c>
    </row>
    <row r="74" spans="1:11" ht="15" hidden="1" customHeight="1" x14ac:dyDescent="0.25">
      <c r="D74" s="6"/>
      <c r="E74" s="6"/>
      <c r="F74" s="13"/>
      <c r="G74" s="3"/>
      <c r="H74" s="3"/>
      <c r="I74" s="182"/>
      <c r="J74" s="182"/>
    </row>
    <row r="75" spans="1:11" s="43" customFormat="1" ht="15" hidden="1" customHeight="1" x14ac:dyDescent="0.25">
      <c r="A75" s="47" t="s">
        <v>127</v>
      </c>
      <c r="B75" s="47"/>
      <c r="C75" s="43" t="s">
        <v>246</v>
      </c>
      <c r="D75" s="178"/>
      <c r="E75" s="178"/>
      <c r="F75" s="179"/>
      <c r="G75" s="180"/>
      <c r="H75" s="180"/>
      <c r="I75" s="181"/>
      <c r="J75" s="181"/>
    </row>
    <row r="76" spans="1:11" s="177" customFormat="1" x14ac:dyDescent="0.25">
      <c r="A76" s="82"/>
      <c r="B76" s="82"/>
      <c r="D76" s="244"/>
      <c r="E76" s="244"/>
      <c r="F76" s="245"/>
      <c r="G76" s="246"/>
      <c r="H76" s="246"/>
      <c r="I76" s="247"/>
      <c r="J76" s="247"/>
    </row>
    <row r="77" spans="1:11" s="172" customFormat="1" ht="15.75" hidden="1" customHeight="1" thickBot="1" x14ac:dyDescent="0.3">
      <c r="A77" s="249" t="s">
        <v>127</v>
      </c>
      <c r="B77" s="249"/>
      <c r="C77" s="249" t="s">
        <v>244</v>
      </c>
      <c r="D77" s="250"/>
      <c r="E77" s="250"/>
      <c r="F77" s="250"/>
      <c r="G77" s="250"/>
      <c r="H77" s="250"/>
      <c r="I77" s="250"/>
      <c r="J77" s="251"/>
    </row>
    <row r="78" spans="1:11" ht="15" hidden="1" customHeight="1" x14ac:dyDescent="0.25">
      <c r="A78" s="13"/>
      <c r="B78" s="13"/>
      <c r="C78" s="13"/>
      <c r="D78" s="13"/>
      <c r="E78" s="13"/>
      <c r="F78" s="13"/>
      <c r="G78" s="13"/>
      <c r="H78" s="13"/>
      <c r="I78" s="13"/>
      <c r="J78" s="89"/>
    </row>
    <row r="79" spans="1:11" ht="15" hidden="1" customHeight="1" x14ac:dyDescent="0.25">
      <c r="A79" s="83">
        <v>1</v>
      </c>
      <c r="B79" s="83"/>
      <c r="C79" s="446" t="s">
        <v>164</v>
      </c>
      <c r="D79" s="446"/>
      <c r="E79" s="446"/>
      <c r="F79" s="446"/>
      <c r="J79" s="89"/>
    </row>
    <row r="80" spans="1:11" ht="15" hidden="1" customHeight="1" x14ac:dyDescent="0.25">
      <c r="A80" s="448" t="s">
        <v>163</v>
      </c>
      <c r="B80" s="383"/>
      <c r="C80" s="450"/>
      <c r="D80" s="72" t="s">
        <v>147</v>
      </c>
      <c r="E80" s="72" t="s">
        <v>148</v>
      </c>
      <c r="F80" s="72" t="s">
        <v>149</v>
      </c>
      <c r="G80" s="72" t="s">
        <v>150</v>
      </c>
      <c r="H80" s="72" t="s">
        <v>151</v>
      </c>
      <c r="I80" s="72" t="s">
        <v>152</v>
      </c>
      <c r="J80" s="89"/>
    </row>
    <row r="81" spans="1:10" ht="15" hidden="1" customHeight="1" x14ac:dyDescent="0.25">
      <c r="A81" s="449"/>
      <c r="B81" s="384"/>
      <c r="C81" s="451"/>
      <c r="D81" s="2" t="s">
        <v>175</v>
      </c>
      <c r="E81" s="2"/>
      <c r="F81" s="2"/>
      <c r="G81" s="2"/>
      <c r="H81" s="2"/>
      <c r="I81" s="2"/>
      <c r="J81" s="89"/>
    </row>
    <row r="82" spans="1:10" ht="15" hidden="1" customHeight="1" x14ac:dyDescent="0.25">
      <c r="A82" s="88">
        <v>1</v>
      </c>
      <c r="B82" s="88"/>
      <c r="C82" s="88"/>
      <c r="D82" s="92">
        <f t="shared" ref="D82:I85" si="0">$C170*D170</f>
        <v>89.899999999999991</v>
      </c>
      <c r="E82" s="92">
        <f t="shared" si="0"/>
        <v>655.4</v>
      </c>
      <c r="F82" s="92">
        <f t="shared" si="0"/>
        <v>384.25</v>
      </c>
      <c r="G82" s="92">
        <f t="shared" si="0"/>
        <v>11.6</v>
      </c>
      <c r="H82" s="92">
        <f t="shared" si="0"/>
        <v>20.3</v>
      </c>
      <c r="I82" s="92">
        <f t="shared" si="0"/>
        <v>1.45</v>
      </c>
      <c r="J82" s="89"/>
    </row>
    <row r="83" spans="1:10" ht="15" hidden="1" customHeight="1" x14ac:dyDescent="0.25">
      <c r="A83" s="88">
        <f>A82+1</f>
        <v>2</v>
      </c>
      <c r="B83" s="88"/>
      <c r="C83" s="88"/>
      <c r="D83" s="92">
        <f t="shared" si="0"/>
        <v>108.75</v>
      </c>
      <c r="E83" s="92">
        <f t="shared" si="0"/>
        <v>771.4</v>
      </c>
      <c r="F83" s="92">
        <f t="shared" si="0"/>
        <v>481.4</v>
      </c>
      <c r="G83" s="92">
        <f t="shared" si="0"/>
        <v>8.6999999999999993</v>
      </c>
      <c r="H83" s="92">
        <f t="shared" si="0"/>
        <v>14.5</v>
      </c>
      <c r="I83" s="92">
        <f t="shared" si="0"/>
        <v>11.6</v>
      </c>
      <c r="J83" s="89"/>
    </row>
    <row r="84" spans="1:10" ht="15" hidden="1" customHeight="1" x14ac:dyDescent="0.25">
      <c r="A84" s="88">
        <f t="shared" ref="A84:A92" si="1">A83+1</f>
        <v>3</v>
      </c>
      <c r="B84" s="88"/>
      <c r="C84" s="88"/>
      <c r="D84" s="92">
        <f t="shared" si="0"/>
        <v>41.6</v>
      </c>
      <c r="E84" s="92">
        <f t="shared" si="0"/>
        <v>231.04</v>
      </c>
      <c r="F84" s="92">
        <f t="shared" si="0"/>
        <v>107.52</v>
      </c>
      <c r="G84" s="92">
        <f t="shared" si="0"/>
        <v>1.92</v>
      </c>
      <c r="H84" s="92">
        <f t="shared" si="0"/>
        <v>2.56</v>
      </c>
      <c r="I84" s="92">
        <f t="shared" si="0"/>
        <v>0</v>
      </c>
      <c r="J84" s="89"/>
    </row>
    <row r="85" spans="1:10" ht="15" hidden="1" customHeight="1" x14ac:dyDescent="0.25">
      <c r="A85" s="88">
        <f t="shared" si="1"/>
        <v>4</v>
      </c>
      <c r="B85" s="88"/>
      <c r="C85" s="88"/>
      <c r="D85" s="92">
        <f t="shared" si="0"/>
        <v>8.64</v>
      </c>
      <c r="E85" s="92">
        <f t="shared" si="0"/>
        <v>61.6</v>
      </c>
      <c r="F85" s="92">
        <f t="shared" si="0"/>
        <v>25.44</v>
      </c>
      <c r="G85" s="92">
        <f t="shared" si="0"/>
        <v>0.64</v>
      </c>
      <c r="H85" s="92">
        <f t="shared" si="0"/>
        <v>0.8</v>
      </c>
      <c r="I85" s="92">
        <f t="shared" si="0"/>
        <v>0</v>
      </c>
      <c r="J85" s="89"/>
    </row>
    <row r="86" spans="1:10" ht="15" hidden="1" customHeight="1" x14ac:dyDescent="0.25">
      <c r="A86" s="88">
        <f t="shared" si="1"/>
        <v>5</v>
      </c>
      <c r="B86" s="88"/>
      <c r="C86" s="88"/>
      <c r="D86" s="92">
        <f t="shared" ref="D86:I92" si="2">$C174*D174</f>
        <v>87.72</v>
      </c>
      <c r="E86" s="92">
        <f t="shared" si="2"/>
        <v>454.08000000000004</v>
      </c>
      <c r="F86" s="92">
        <f t="shared" si="2"/>
        <v>170.28</v>
      </c>
      <c r="G86" s="92">
        <f t="shared" si="2"/>
        <v>2.58</v>
      </c>
      <c r="H86" s="92">
        <f t="shared" si="2"/>
        <v>12.9</v>
      </c>
      <c r="I86" s="92">
        <f t="shared" si="2"/>
        <v>6.45</v>
      </c>
      <c r="J86" s="89"/>
    </row>
    <row r="87" spans="1:10" ht="15" hidden="1" customHeight="1" x14ac:dyDescent="0.25">
      <c r="A87" s="88">
        <f t="shared" si="1"/>
        <v>6</v>
      </c>
      <c r="B87" s="88"/>
      <c r="C87" s="88"/>
      <c r="D87" s="92">
        <f t="shared" si="2"/>
        <v>34.56</v>
      </c>
      <c r="E87" s="92">
        <f t="shared" si="2"/>
        <v>161.28</v>
      </c>
      <c r="F87" s="92">
        <f t="shared" si="2"/>
        <v>87.04</v>
      </c>
      <c r="G87" s="92">
        <f t="shared" si="2"/>
        <v>0.64</v>
      </c>
      <c r="H87" s="92">
        <f t="shared" si="2"/>
        <v>5.12</v>
      </c>
      <c r="I87" s="92">
        <f t="shared" si="2"/>
        <v>0.64</v>
      </c>
      <c r="J87" s="89"/>
    </row>
    <row r="88" spans="1:10" ht="15" hidden="1" customHeight="1" x14ac:dyDescent="0.25">
      <c r="A88" s="88">
        <f t="shared" si="1"/>
        <v>7</v>
      </c>
      <c r="B88" s="88"/>
      <c r="C88" s="88"/>
      <c r="D88" s="92">
        <f t="shared" si="2"/>
        <v>90.399999999999991</v>
      </c>
      <c r="E88" s="92">
        <f t="shared" si="2"/>
        <v>636.18999999999994</v>
      </c>
      <c r="F88" s="92">
        <f t="shared" si="2"/>
        <v>284.76</v>
      </c>
      <c r="G88" s="92">
        <f t="shared" si="2"/>
        <v>7.9099999999999993</v>
      </c>
      <c r="H88" s="92">
        <f t="shared" si="2"/>
        <v>28.249999999999996</v>
      </c>
      <c r="I88" s="92">
        <f t="shared" si="2"/>
        <v>6.7799999999999994</v>
      </c>
      <c r="J88" s="89"/>
    </row>
    <row r="89" spans="1:10" ht="15" hidden="1" customHeight="1" x14ac:dyDescent="0.25">
      <c r="A89" s="88">
        <f t="shared" si="1"/>
        <v>8</v>
      </c>
      <c r="B89" s="88"/>
      <c r="C89" s="88"/>
      <c r="D89" s="92">
        <f t="shared" si="2"/>
        <v>16.599999999999998</v>
      </c>
      <c r="E89" s="92">
        <f t="shared" si="2"/>
        <v>103.75</v>
      </c>
      <c r="F89" s="92">
        <f t="shared" si="2"/>
        <v>12.45</v>
      </c>
      <c r="G89" s="92">
        <f t="shared" si="2"/>
        <v>0.83</v>
      </c>
      <c r="H89" s="92">
        <f t="shared" si="2"/>
        <v>1.66</v>
      </c>
      <c r="I89" s="92">
        <f t="shared" si="2"/>
        <v>0.83</v>
      </c>
      <c r="J89" s="89"/>
    </row>
    <row r="90" spans="1:10" ht="15" hidden="1" customHeight="1" x14ac:dyDescent="0.25">
      <c r="A90" s="88">
        <f t="shared" si="1"/>
        <v>9</v>
      </c>
      <c r="B90" s="88"/>
      <c r="C90" s="88"/>
      <c r="D90" s="92">
        <f t="shared" si="2"/>
        <v>58.050000000000004</v>
      </c>
      <c r="E90" s="92">
        <f t="shared" si="2"/>
        <v>497.94</v>
      </c>
      <c r="F90" s="92">
        <f t="shared" si="2"/>
        <v>183.18</v>
      </c>
      <c r="G90" s="92">
        <f t="shared" si="2"/>
        <v>10.32</v>
      </c>
      <c r="H90" s="92">
        <f t="shared" si="2"/>
        <v>10.32</v>
      </c>
      <c r="I90" s="92">
        <f t="shared" si="2"/>
        <v>1.29</v>
      </c>
      <c r="J90" s="89"/>
    </row>
    <row r="91" spans="1:10" ht="15" hidden="1" customHeight="1" x14ac:dyDescent="0.25">
      <c r="A91" s="88">
        <f t="shared" si="1"/>
        <v>10</v>
      </c>
      <c r="B91" s="88"/>
      <c r="C91" s="88"/>
      <c r="D91" s="92">
        <f t="shared" si="2"/>
        <v>40.669999999999995</v>
      </c>
      <c r="E91" s="92">
        <f t="shared" si="2"/>
        <v>375.99</v>
      </c>
      <c r="F91" s="92">
        <f t="shared" si="2"/>
        <v>114.53999999999999</v>
      </c>
      <c r="G91" s="92">
        <f t="shared" si="2"/>
        <v>4.9799999999999995</v>
      </c>
      <c r="H91" s="92">
        <f t="shared" si="2"/>
        <v>5.81</v>
      </c>
      <c r="I91" s="92">
        <f t="shared" si="2"/>
        <v>0</v>
      </c>
      <c r="J91" s="89"/>
    </row>
    <row r="92" spans="1:10" ht="15" hidden="1" customHeight="1" x14ac:dyDescent="0.25">
      <c r="A92" s="88">
        <f t="shared" si="1"/>
        <v>11</v>
      </c>
      <c r="B92" s="88"/>
      <c r="C92" s="88"/>
      <c r="D92" s="92">
        <f t="shared" si="2"/>
        <v>75.19</v>
      </c>
      <c r="E92" s="92">
        <f t="shared" si="2"/>
        <v>465.56</v>
      </c>
      <c r="F92" s="92">
        <f t="shared" si="2"/>
        <v>236.9</v>
      </c>
      <c r="G92" s="92">
        <f t="shared" si="2"/>
        <v>7.21</v>
      </c>
      <c r="H92" s="92">
        <f t="shared" si="2"/>
        <v>4.12</v>
      </c>
      <c r="I92" s="92">
        <f t="shared" si="2"/>
        <v>3.09</v>
      </c>
      <c r="J92" s="89"/>
    </row>
    <row r="93" spans="1:10" ht="15" hidden="1" customHeight="1" x14ac:dyDescent="0.25">
      <c r="A93" s="216" t="s">
        <v>263</v>
      </c>
      <c r="B93" s="216"/>
      <c r="C93" s="88"/>
      <c r="D93" s="217"/>
      <c r="E93" s="217"/>
      <c r="F93" s="217"/>
      <c r="G93" s="217"/>
      <c r="H93" s="217"/>
      <c r="I93" s="217"/>
      <c r="J93" s="89"/>
    </row>
    <row r="94" spans="1:10" ht="15" hidden="1" customHeight="1" x14ac:dyDescent="0.25">
      <c r="A94" s="13"/>
      <c r="B94" s="13"/>
      <c r="C94" s="20" t="s">
        <v>3</v>
      </c>
      <c r="D94" s="20">
        <f t="shared" ref="D94:I94" si="3">SUM(D82:D93)</f>
        <v>652.07999999999993</v>
      </c>
      <c r="E94" s="20">
        <f t="shared" si="3"/>
        <v>4414.2300000000005</v>
      </c>
      <c r="F94" s="20">
        <f t="shared" si="3"/>
        <v>2087.7600000000002</v>
      </c>
      <c r="G94" s="20">
        <f t="shared" si="3"/>
        <v>57.329999999999991</v>
      </c>
      <c r="H94" s="20">
        <f t="shared" si="3"/>
        <v>106.34</v>
      </c>
      <c r="I94" s="20">
        <f t="shared" si="3"/>
        <v>32.129999999999995</v>
      </c>
      <c r="J94" s="89"/>
    </row>
    <row r="95" spans="1:10" ht="15" hidden="1" customHeight="1" x14ac:dyDescent="0.25">
      <c r="A95" s="13"/>
      <c r="B95" s="13"/>
      <c r="C95" s="20"/>
      <c r="D95" s="20"/>
      <c r="E95" s="20"/>
      <c r="F95" s="20"/>
      <c r="G95" s="20"/>
      <c r="H95" s="20"/>
      <c r="I95" s="20"/>
      <c r="J95" s="89"/>
    </row>
    <row r="96" spans="1:10" ht="15" hidden="1" customHeight="1" x14ac:dyDescent="0.25">
      <c r="J96" s="77"/>
    </row>
    <row r="97" spans="1:10" ht="15" hidden="1" customHeight="1" x14ac:dyDescent="0.25">
      <c r="A97" s="83">
        <v>2</v>
      </c>
      <c r="B97" s="83"/>
      <c r="C97" s="452" t="s">
        <v>180</v>
      </c>
      <c r="D97" s="452"/>
      <c r="E97" s="452"/>
      <c r="F97" s="452"/>
      <c r="H97" s="447" t="s">
        <v>172</v>
      </c>
      <c r="I97" s="447"/>
      <c r="J97" s="447"/>
    </row>
    <row r="98" spans="1:10" ht="15" hidden="1" customHeight="1" x14ac:dyDescent="0.25">
      <c r="A98" s="97"/>
      <c r="B98" s="97"/>
      <c r="C98" s="97"/>
      <c r="D98" s="72" t="s">
        <v>147</v>
      </c>
      <c r="E98" s="72" t="s">
        <v>148</v>
      </c>
      <c r="F98" s="72" t="s">
        <v>149</v>
      </c>
      <c r="G98" s="72" t="s">
        <v>150</v>
      </c>
      <c r="H98" s="72" t="s">
        <v>151</v>
      </c>
      <c r="I98" s="72" t="s">
        <v>152</v>
      </c>
      <c r="J98" s="183"/>
    </row>
    <row r="99" spans="1:10" ht="15" hidden="1" customHeight="1" x14ac:dyDescent="0.25">
      <c r="A99" t="s">
        <v>73</v>
      </c>
      <c r="C99" s="2" t="s">
        <v>165</v>
      </c>
      <c r="D99" s="75">
        <f>D94*$E42/100</f>
        <v>652.07999999999993</v>
      </c>
      <c r="E99" s="75">
        <f>E94*$E43/100</f>
        <v>4193.5185000000001</v>
      </c>
      <c r="F99" s="75">
        <f>F94*$E44/100</f>
        <v>1878.9840000000002</v>
      </c>
      <c r="G99" s="233"/>
      <c r="H99" s="75">
        <f>H94*$E46/100</f>
        <v>10.634</v>
      </c>
      <c r="I99" s="233"/>
      <c r="J99" s="77"/>
    </row>
    <row r="100" spans="1:10" ht="15" hidden="1" customHeight="1" x14ac:dyDescent="0.25">
      <c r="C100" s="2" t="s">
        <v>69</v>
      </c>
      <c r="D100" s="233"/>
      <c r="E100" s="233"/>
      <c r="F100" s="75">
        <f>F94*$F44/100</f>
        <v>208.77600000000001</v>
      </c>
      <c r="G100" s="75">
        <f>G94*$F45/100</f>
        <v>57.329999999999991</v>
      </c>
      <c r="H100" s="75">
        <f>H94*$F46/100</f>
        <v>95.706000000000003</v>
      </c>
      <c r="I100" s="75">
        <f>I94*$F47/100</f>
        <v>28.916999999999998</v>
      </c>
      <c r="J100" s="77"/>
    </row>
    <row r="101" spans="1:10" ht="15" hidden="1" customHeight="1" x14ac:dyDescent="0.25">
      <c r="C101" s="2" t="s">
        <v>70</v>
      </c>
      <c r="D101" s="233"/>
      <c r="E101" s="75">
        <f>E94*$G43/100</f>
        <v>220.7115</v>
      </c>
      <c r="F101" s="233"/>
      <c r="G101" s="233"/>
      <c r="H101" s="233"/>
      <c r="I101" s="75">
        <f>I94*$G47/100</f>
        <v>3.2129999999999996</v>
      </c>
      <c r="J101" s="77"/>
    </row>
    <row r="102" spans="1:10" ht="15" hidden="1" customHeight="1" x14ac:dyDescent="0.25">
      <c r="C102" s="16" t="s">
        <v>177</v>
      </c>
      <c r="D102" s="234">
        <f t="shared" ref="D102:I102" si="4">SUM(D99:D101)</f>
        <v>652.07999999999993</v>
      </c>
      <c r="E102" s="234">
        <f t="shared" si="4"/>
        <v>4414.2300000000005</v>
      </c>
      <c r="F102" s="234">
        <f t="shared" si="4"/>
        <v>2087.7600000000002</v>
      </c>
      <c r="G102" s="234">
        <f t="shared" si="4"/>
        <v>57.329999999999991</v>
      </c>
      <c r="H102" s="234">
        <f t="shared" si="4"/>
        <v>106.34</v>
      </c>
      <c r="I102" s="234">
        <f t="shared" si="4"/>
        <v>32.129999999999995</v>
      </c>
      <c r="J102" s="77"/>
    </row>
    <row r="103" spans="1:10" ht="15" hidden="1" customHeight="1" x14ac:dyDescent="0.25">
      <c r="J103" s="77"/>
    </row>
    <row r="104" spans="1:10" ht="48.75" hidden="1" customHeight="1" x14ac:dyDescent="0.25">
      <c r="A104" s="83">
        <v>3</v>
      </c>
      <c r="B104" s="83"/>
      <c r="C104" s="446" t="s">
        <v>179</v>
      </c>
      <c r="D104" s="446"/>
      <c r="E104" s="446"/>
      <c r="F104" s="446"/>
      <c r="H104" s="447" t="s">
        <v>172</v>
      </c>
      <c r="I104" s="447"/>
      <c r="J104" s="447"/>
    </row>
    <row r="105" spans="1:10" ht="15" hidden="1" customHeight="1" x14ac:dyDescent="0.25">
      <c r="A105" s="97"/>
      <c r="B105" s="97"/>
      <c r="C105" s="184"/>
      <c r="D105" s="72" t="s">
        <v>147</v>
      </c>
      <c r="E105" s="72" t="s">
        <v>148</v>
      </c>
      <c r="F105" s="72" t="s">
        <v>149</v>
      </c>
      <c r="G105" s="72" t="s">
        <v>150</v>
      </c>
      <c r="H105" s="72" t="s">
        <v>151</v>
      </c>
      <c r="I105" s="72" t="s">
        <v>152</v>
      </c>
      <c r="J105" s="183"/>
    </row>
    <row r="106" spans="1:10" ht="30.75" hidden="1" customHeight="1" x14ac:dyDescent="0.25">
      <c r="A106" s="97"/>
      <c r="B106" s="97"/>
      <c r="C106" s="184"/>
      <c r="D106" s="201"/>
      <c r="E106" s="202" t="s">
        <v>206</v>
      </c>
      <c r="F106" s="72"/>
      <c r="G106" s="200"/>
      <c r="H106" s="72"/>
      <c r="I106" s="200"/>
      <c r="J106" s="183"/>
    </row>
    <row r="107" spans="1:10" ht="15" hidden="1" customHeight="1" x14ac:dyDescent="0.25">
      <c r="A107" s="97"/>
      <c r="B107" s="97"/>
      <c r="C107" s="184"/>
      <c r="D107" s="201"/>
      <c r="E107" s="232">
        <f>E99*$E52/100</f>
        <v>209.67592499999998</v>
      </c>
      <c r="F107" s="72"/>
      <c r="G107" s="200"/>
      <c r="H107" s="72"/>
      <c r="I107" s="200"/>
      <c r="J107" s="183"/>
    </row>
    <row r="108" spans="1:10" ht="46.5" hidden="1" customHeight="1" x14ac:dyDescent="0.25">
      <c r="A108" s="97"/>
      <c r="B108" s="97"/>
      <c r="C108" s="184"/>
      <c r="D108" s="201"/>
      <c r="E108" s="202" t="s">
        <v>223</v>
      </c>
      <c r="F108" s="72"/>
      <c r="G108" s="200"/>
      <c r="H108" s="72"/>
      <c r="I108" s="200"/>
      <c r="J108" s="183"/>
    </row>
    <row r="109" spans="1:10" ht="15" hidden="1" customHeight="1" x14ac:dyDescent="0.25">
      <c r="A109" s="97"/>
      <c r="B109" s="97"/>
      <c r="C109" s="184"/>
      <c r="D109" s="201"/>
      <c r="E109" s="232">
        <f>E99*$G52/100</f>
        <v>209.67592499999998</v>
      </c>
      <c r="F109" s="72"/>
      <c r="G109" s="200"/>
      <c r="H109" s="72"/>
      <c r="I109" s="200"/>
      <c r="J109" s="183"/>
    </row>
    <row r="110" spans="1:10" ht="36.75" hidden="1" customHeight="1" x14ac:dyDescent="0.25">
      <c r="A110" s="97"/>
      <c r="B110" s="97"/>
      <c r="C110" s="184"/>
      <c r="D110" s="202" t="s">
        <v>227</v>
      </c>
      <c r="E110" s="202" t="s">
        <v>224</v>
      </c>
      <c r="F110" s="72"/>
      <c r="G110" s="200"/>
      <c r="H110" s="72"/>
      <c r="I110" s="200"/>
      <c r="J110" s="183"/>
    </row>
    <row r="111" spans="1:10" ht="21" hidden="1" customHeight="1" x14ac:dyDescent="0.25">
      <c r="A111" s="97"/>
      <c r="B111" s="97"/>
      <c r="C111" s="184"/>
      <c r="D111" s="231">
        <f>D99*$K51/100</f>
        <v>32.603999999999999</v>
      </c>
      <c r="E111" s="232">
        <f>E99*$H52/100</f>
        <v>419.35184999999996</v>
      </c>
      <c r="F111" s="72"/>
      <c r="G111" s="200"/>
      <c r="H111" s="72"/>
      <c r="I111" s="200"/>
      <c r="J111" s="183"/>
    </row>
    <row r="112" spans="1:10" ht="51" hidden="1" customHeight="1" x14ac:dyDescent="0.25">
      <c r="A112" t="s">
        <v>178</v>
      </c>
      <c r="C112" t="s">
        <v>166</v>
      </c>
      <c r="D112" s="84" t="s">
        <v>167</v>
      </c>
      <c r="E112" s="85" t="s">
        <v>169</v>
      </c>
      <c r="F112" s="86" t="s">
        <v>171</v>
      </c>
      <c r="G112" s="94"/>
      <c r="H112" s="86" t="s">
        <v>171</v>
      </c>
      <c r="I112" s="94"/>
      <c r="J112" s="77"/>
    </row>
    <row r="113" spans="1:10" ht="15" hidden="1" customHeight="1" x14ac:dyDescent="0.25">
      <c r="D113" s="225">
        <f>D99*$L51/100</f>
        <v>130.416</v>
      </c>
      <c r="E113" s="228">
        <f>E99*$I52/100</f>
        <v>1258.05555</v>
      </c>
      <c r="F113" s="229">
        <f>F99*F53/100</f>
        <v>1878.9840000000002</v>
      </c>
      <c r="G113" s="230"/>
      <c r="H113" s="229">
        <f>H99*F55/100</f>
        <v>10.634</v>
      </c>
      <c r="I113" s="94"/>
      <c r="J113" s="77"/>
    </row>
    <row r="114" spans="1:10" ht="51" hidden="1" customHeight="1" x14ac:dyDescent="0.25">
      <c r="D114" s="84" t="s">
        <v>168</v>
      </c>
      <c r="E114" s="85" t="s">
        <v>170</v>
      </c>
      <c r="F114" s="94"/>
      <c r="G114" s="94"/>
      <c r="H114" s="94"/>
      <c r="I114" s="94"/>
      <c r="J114" s="77"/>
    </row>
    <row r="115" spans="1:10" ht="15" hidden="1" customHeight="1" x14ac:dyDescent="0.25">
      <c r="D115" s="225">
        <f>D99*$M51/100</f>
        <v>489.05999999999995</v>
      </c>
      <c r="E115" s="226">
        <f>E99*$J52/100</f>
        <v>2096.7592500000001</v>
      </c>
      <c r="F115" s="94"/>
      <c r="G115" s="94"/>
      <c r="H115" s="94"/>
      <c r="I115" s="94"/>
      <c r="J115" s="77"/>
    </row>
    <row r="116" spans="1:10" s="1" customFormat="1" ht="15" hidden="1" customHeight="1" x14ac:dyDescent="0.25">
      <c r="A116" s="219" t="s">
        <v>264</v>
      </c>
      <c r="B116" s="219"/>
      <c r="C116" s="219"/>
      <c r="D116" s="227">
        <f t="shared" ref="D116:I116" si="5">D107+D109+D111+D113+D115</f>
        <v>652.07999999999993</v>
      </c>
      <c r="E116" s="227">
        <f t="shared" si="5"/>
        <v>4193.5185000000001</v>
      </c>
      <c r="F116" s="227">
        <f t="shared" si="5"/>
        <v>1878.9840000000002</v>
      </c>
      <c r="G116" s="227">
        <f t="shared" si="5"/>
        <v>0</v>
      </c>
      <c r="H116" s="227">
        <f t="shared" si="5"/>
        <v>10.634</v>
      </c>
      <c r="I116" s="227">
        <f t="shared" si="5"/>
        <v>0</v>
      </c>
      <c r="J116" s="218"/>
    </row>
    <row r="117" spans="1:10" ht="26.25" hidden="1" customHeight="1" x14ac:dyDescent="0.25">
      <c r="C117" t="s">
        <v>69</v>
      </c>
      <c r="D117" s="94"/>
      <c r="E117" s="94"/>
      <c r="F117" s="87" t="s">
        <v>171</v>
      </c>
      <c r="G117" s="87" t="s">
        <v>171</v>
      </c>
      <c r="H117" s="87" t="s">
        <v>171</v>
      </c>
      <c r="I117" s="87" t="s">
        <v>171</v>
      </c>
      <c r="J117" s="77"/>
    </row>
    <row r="118" spans="1:10" ht="15" hidden="1" customHeight="1" x14ac:dyDescent="0.25">
      <c r="D118" s="94"/>
      <c r="E118" s="94"/>
      <c r="F118" s="223">
        <f>F100*$E61/100</f>
        <v>208.77600000000001</v>
      </c>
      <c r="G118" s="223">
        <f>G100*$E62/100</f>
        <v>57.329999999999991</v>
      </c>
      <c r="H118" s="223">
        <f>H100*$E63/100</f>
        <v>95.706000000000003</v>
      </c>
      <c r="I118" s="223">
        <f>I100*$E64/100</f>
        <v>28.916999999999998</v>
      </c>
      <c r="J118" s="77"/>
    </row>
    <row r="119" spans="1:10" ht="15" hidden="1" customHeight="1" x14ac:dyDescent="0.25">
      <c r="A119" s="219" t="s">
        <v>265</v>
      </c>
      <c r="B119" s="219"/>
      <c r="C119" s="219"/>
      <c r="D119" s="220"/>
      <c r="E119" s="220"/>
      <c r="F119" s="222">
        <f>F118</f>
        <v>208.77600000000001</v>
      </c>
      <c r="G119" s="222">
        <f>G118</f>
        <v>57.329999999999991</v>
      </c>
      <c r="H119" s="222">
        <f>H118</f>
        <v>95.706000000000003</v>
      </c>
      <c r="I119" s="222">
        <f>I118</f>
        <v>28.916999999999998</v>
      </c>
      <c r="J119" s="77"/>
    </row>
    <row r="120" spans="1:10" ht="26.25" hidden="1" customHeight="1" x14ac:dyDescent="0.25">
      <c r="C120" t="s">
        <v>70</v>
      </c>
      <c r="D120" s="112"/>
      <c r="E120" s="87" t="s">
        <v>206</v>
      </c>
      <c r="F120" s="112"/>
      <c r="G120" s="112"/>
      <c r="H120" s="112"/>
      <c r="I120" s="112"/>
      <c r="J120" s="77"/>
    </row>
    <row r="121" spans="1:10" ht="15" hidden="1" customHeight="1" x14ac:dyDescent="0.25">
      <c r="D121" s="112"/>
      <c r="E121" s="223">
        <f>E101*$E69/100</f>
        <v>110.35575</v>
      </c>
      <c r="F121" s="112"/>
      <c r="G121" s="112"/>
      <c r="H121" s="112"/>
      <c r="I121" s="112"/>
      <c r="J121" s="77"/>
    </row>
    <row r="122" spans="1:10" ht="26.25" hidden="1" customHeight="1" x14ac:dyDescent="0.25">
      <c r="D122" s="112"/>
      <c r="E122" s="87" t="s">
        <v>207</v>
      </c>
      <c r="F122" s="112"/>
      <c r="G122" s="112"/>
      <c r="H122" s="112"/>
      <c r="I122" s="112"/>
      <c r="J122" s="77"/>
    </row>
    <row r="123" spans="1:10" ht="15" hidden="1" customHeight="1" x14ac:dyDescent="0.25">
      <c r="D123" s="112"/>
      <c r="E123" s="224">
        <f>E101*$F69/100</f>
        <v>110.35575</v>
      </c>
      <c r="F123" s="112"/>
      <c r="G123" s="112"/>
      <c r="H123" s="112"/>
      <c r="I123" s="112"/>
      <c r="J123" s="77"/>
    </row>
    <row r="124" spans="1:10" ht="64.5" hidden="1" customHeight="1" x14ac:dyDescent="0.25">
      <c r="D124" s="112"/>
      <c r="E124" s="209"/>
      <c r="F124" s="112"/>
      <c r="G124" s="112"/>
      <c r="H124" s="112"/>
      <c r="I124" s="87" t="s">
        <v>235</v>
      </c>
      <c r="J124" s="77"/>
    </row>
    <row r="125" spans="1:10" ht="15" hidden="1" customHeight="1" x14ac:dyDescent="0.25">
      <c r="D125" s="112"/>
      <c r="E125" s="209"/>
      <c r="F125" s="112"/>
      <c r="G125" s="112"/>
      <c r="H125" s="112"/>
      <c r="I125" s="223">
        <f>I101*$G73/100</f>
        <v>1.6064999999999998</v>
      </c>
      <c r="J125" s="77"/>
    </row>
    <row r="126" spans="1:10" ht="64.5" hidden="1" customHeight="1" x14ac:dyDescent="0.25">
      <c r="D126" s="112"/>
      <c r="E126" s="209"/>
      <c r="F126" s="112"/>
      <c r="G126" s="112"/>
      <c r="H126" s="112"/>
      <c r="I126" s="87" t="s">
        <v>236</v>
      </c>
      <c r="J126" s="77"/>
    </row>
    <row r="127" spans="1:10" ht="15" hidden="1" customHeight="1" x14ac:dyDescent="0.25">
      <c r="D127" s="112"/>
      <c r="E127" s="209"/>
      <c r="F127" s="112"/>
      <c r="G127" s="112"/>
      <c r="H127" s="112"/>
      <c r="I127" s="223">
        <f>I101*$H73/100</f>
        <v>1.2851999999999999</v>
      </c>
      <c r="J127" s="77"/>
    </row>
    <row r="128" spans="1:10" ht="51.75" hidden="1" customHeight="1" x14ac:dyDescent="0.25">
      <c r="D128" s="112"/>
      <c r="E128" s="209"/>
      <c r="F128" s="112"/>
      <c r="G128" s="112"/>
      <c r="H128" s="112"/>
      <c r="I128" s="87" t="s">
        <v>237</v>
      </c>
      <c r="J128" s="77"/>
    </row>
    <row r="129" spans="1:10" ht="15" hidden="1" customHeight="1" x14ac:dyDescent="0.25">
      <c r="D129" s="112"/>
      <c r="E129" s="209"/>
      <c r="F129" s="112"/>
      <c r="G129" s="112"/>
      <c r="H129" s="112"/>
      <c r="I129" s="223">
        <f>I101*$I73/100</f>
        <v>0</v>
      </c>
      <c r="J129" s="77"/>
    </row>
    <row r="130" spans="1:10" ht="51.75" hidden="1" customHeight="1" x14ac:dyDescent="0.25">
      <c r="D130" s="112"/>
      <c r="E130" s="209"/>
      <c r="F130" s="112"/>
      <c r="G130" s="112"/>
      <c r="H130" s="112"/>
      <c r="I130" s="87" t="s">
        <v>238</v>
      </c>
      <c r="J130" s="77"/>
    </row>
    <row r="131" spans="1:10" ht="15" hidden="1" customHeight="1" x14ac:dyDescent="0.25">
      <c r="D131" s="112"/>
      <c r="E131" s="209"/>
      <c r="F131" s="112"/>
      <c r="G131" s="112"/>
      <c r="H131" s="112"/>
      <c r="I131" s="223">
        <f>I101*$J73/100</f>
        <v>0.32129999999999997</v>
      </c>
      <c r="J131" s="77"/>
    </row>
    <row r="132" spans="1:10" s="1" customFormat="1" ht="15" hidden="1" customHeight="1" x14ac:dyDescent="0.25">
      <c r="A132" s="219" t="s">
        <v>266</v>
      </c>
      <c r="B132" s="219"/>
      <c r="C132" s="219"/>
      <c r="D132" s="222"/>
      <c r="E132" s="221">
        <f>E121+E123</f>
        <v>220.7115</v>
      </c>
      <c r="F132" s="222">
        <f>F131</f>
        <v>0</v>
      </c>
      <c r="G132" s="222">
        <f>G131</f>
        <v>0</v>
      </c>
      <c r="H132" s="222">
        <f>H131</f>
        <v>0</v>
      </c>
      <c r="I132" s="222">
        <f>I125+I127+I129+I131</f>
        <v>3.2129999999999996</v>
      </c>
      <c r="J132" s="218"/>
    </row>
    <row r="133" spans="1:10" ht="34.5" hidden="1" customHeight="1" x14ac:dyDescent="0.25">
      <c r="A133" s="83">
        <v>4</v>
      </c>
      <c r="B133" s="83"/>
      <c r="C133" s="446" t="s">
        <v>181</v>
      </c>
      <c r="D133" s="446"/>
      <c r="E133" s="446"/>
      <c r="F133" s="446"/>
      <c r="J133" s="77"/>
    </row>
    <row r="134" spans="1:10" ht="15" hidden="1" customHeight="1" x14ac:dyDescent="0.25">
      <c r="A134" s="83"/>
      <c r="B134" s="83"/>
      <c r="C134" s="184"/>
      <c r="D134" s="72" t="s">
        <v>147</v>
      </c>
      <c r="E134" s="72" t="s">
        <v>148</v>
      </c>
      <c r="F134" s="72" t="s">
        <v>149</v>
      </c>
      <c r="G134" s="72" t="s">
        <v>150</v>
      </c>
      <c r="H134" s="72" t="s">
        <v>151</v>
      </c>
      <c r="I134" s="72" t="s">
        <v>152</v>
      </c>
      <c r="J134" s="77"/>
    </row>
    <row r="135" spans="1:10" ht="25.5" hidden="1" customHeight="1" x14ac:dyDescent="0.25">
      <c r="A135" s="97"/>
      <c r="B135" s="97"/>
      <c r="C135" s="184"/>
      <c r="D135" s="201"/>
      <c r="E135" s="202" t="s">
        <v>206</v>
      </c>
      <c r="F135" s="201"/>
      <c r="G135" s="203"/>
      <c r="H135" s="201"/>
      <c r="I135" s="203"/>
      <c r="J135" s="77"/>
    </row>
    <row r="136" spans="1:10" ht="15" hidden="1" customHeight="1" x14ac:dyDescent="0.25">
      <c r="A136" s="97"/>
      <c r="B136" s="97"/>
      <c r="C136" s="184"/>
      <c r="D136" s="201"/>
      <c r="E136" s="232">
        <f>E107*$F$21</f>
        <v>57241.52752499999</v>
      </c>
      <c r="F136" s="201"/>
      <c r="G136" s="203"/>
      <c r="H136" s="201"/>
      <c r="I136" s="203"/>
      <c r="J136" s="77"/>
    </row>
    <row r="137" spans="1:10" ht="38.25" hidden="1" customHeight="1" x14ac:dyDescent="0.25">
      <c r="A137" s="97"/>
      <c r="B137" s="97"/>
      <c r="C137" s="184"/>
      <c r="D137" s="201"/>
      <c r="E137" s="202" t="s">
        <v>223</v>
      </c>
      <c r="F137" s="201"/>
      <c r="G137" s="203"/>
      <c r="H137" s="201"/>
      <c r="I137" s="203"/>
      <c r="J137" s="77"/>
    </row>
    <row r="138" spans="1:10" ht="15" hidden="1" customHeight="1" x14ac:dyDescent="0.25">
      <c r="A138" s="97"/>
      <c r="B138" s="97"/>
      <c r="C138" s="184"/>
      <c r="D138" s="201"/>
      <c r="E138" s="232">
        <f>E109*$F$22</f>
        <v>47806.110899999992</v>
      </c>
      <c r="F138" s="201"/>
      <c r="G138" s="203"/>
      <c r="H138" s="201"/>
      <c r="I138" s="203"/>
      <c r="J138" s="77"/>
    </row>
    <row r="139" spans="1:10" ht="38.25" hidden="1" customHeight="1" x14ac:dyDescent="0.25">
      <c r="A139" s="97"/>
      <c r="B139" s="97"/>
      <c r="C139" s="184"/>
      <c r="D139" s="202" t="s">
        <v>227</v>
      </c>
      <c r="E139" s="202" t="s">
        <v>224</v>
      </c>
      <c r="F139" s="201"/>
      <c r="G139" s="203"/>
      <c r="H139" s="201"/>
      <c r="I139" s="203"/>
      <c r="J139" s="77"/>
    </row>
    <row r="140" spans="1:10" ht="15" hidden="1" customHeight="1" x14ac:dyDescent="0.25">
      <c r="A140" s="97"/>
      <c r="B140" s="97"/>
      <c r="C140" s="184"/>
      <c r="D140" s="232">
        <f>D111*$F$18</f>
        <v>1936.6776</v>
      </c>
      <c r="E140" s="232">
        <f>E111*$F$23</f>
        <v>85128.425549999985</v>
      </c>
      <c r="F140" s="201"/>
      <c r="G140" s="203"/>
      <c r="H140" s="201"/>
      <c r="I140" s="203"/>
      <c r="J140" s="77"/>
    </row>
    <row r="141" spans="1:10" ht="51" hidden="1" customHeight="1" x14ac:dyDescent="0.25">
      <c r="A141" t="s">
        <v>178</v>
      </c>
      <c r="C141" t="s">
        <v>166</v>
      </c>
      <c r="D141" s="84" t="s">
        <v>167</v>
      </c>
      <c r="E141" s="85" t="s">
        <v>169</v>
      </c>
      <c r="F141" s="86" t="s">
        <v>171</v>
      </c>
      <c r="G141" s="94"/>
      <c r="H141" s="86" t="s">
        <v>171</v>
      </c>
      <c r="I141" s="94"/>
      <c r="J141" s="77"/>
    </row>
    <row r="142" spans="1:10" ht="15" hidden="1" customHeight="1" x14ac:dyDescent="0.25">
      <c r="D142" s="225">
        <f>D113*$F$19</f>
        <v>12885.1008</v>
      </c>
      <c r="E142" s="240">
        <f>E113*$F$24</f>
        <v>242804.72115</v>
      </c>
      <c r="F142" s="241">
        <f>F113*$F$28</f>
        <v>618185.73600000003</v>
      </c>
      <c r="G142" s="94"/>
      <c r="H142" s="229">
        <f>H113*$F$31</f>
        <v>3498.5860000000002</v>
      </c>
      <c r="I142" s="94"/>
      <c r="J142" s="77"/>
    </row>
    <row r="143" spans="1:10" ht="51" hidden="1" customHeight="1" x14ac:dyDescent="0.25">
      <c r="D143" s="84" t="s">
        <v>168</v>
      </c>
      <c r="E143" s="85" t="s">
        <v>170</v>
      </c>
      <c r="F143" s="94"/>
      <c r="G143" s="94"/>
      <c r="H143" s="94"/>
      <c r="I143" s="94"/>
      <c r="J143" s="77"/>
    </row>
    <row r="144" spans="1:10" ht="15.75" hidden="1" customHeight="1" thickBot="1" x14ac:dyDescent="0.3">
      <c r="D144" s="235">
        <f>D115*$F$20</f>
        <v>61132.499999999993</v>
      </c>
      <c r="E144" s="242">
        <f>E115*$F$25</f>
        <v>463383.79425000004</v>
      </c>
      <c r="F144" s="94"/>
      <c r="G144" s="94"/>
      <c r="H144" s="94"/>
      <c r="I144" s="94"/>
      <c r="J144" s="77"/>
    </row>
    <row r="145" spans="3:10" ht="39.75" hidden="1" customHeight="1" thickBot="1" x14ac:dyDescent="0.3">
      <c r="C145" s="122" t="s">
        <v>197</v>
      </c>
      <c r="D145" s="236">
        <f>D140+D142+D144</f>
        <v>75954.278399999996</v>
      </c>
      <c r="E145" s="237">
        <f>E136+E138+E140+E142+E144</f>
        <v>896364.57937499997</v>
      </c>
      <c r="F145" s="238">
        <f>F142</f>
        <v>618185.73600000003</v>
      </c>
      <c r="G145" s="238"/>
      <c r="H145" s="238">
        <f>H142</f>
        <v>3498.5860000000002</v>
      </c>
      <c r="I145" s="239"/>
      <c r="J145" s="77"/>
    </row>
    <row r="146" spans="3:10" ht="26.25" hidden="1" customHeight="1" x14ac:dyDescent="0.25">
      <c r="C146" t="s">
        <v>69</v>
      </c>
      <c r="D146" s="94"/>
      <c r="E146" s="94"/>
      <c r="F146" s="117" t="s">
        <v>171</v>
      </c>
      <c r="G146" s="117" t="s">
        <v>171</v>
      </c>
      <c r="H146" s="117" t="s">
        <v>171</v>
      </c>
      <c r="I146" s="117" t="s">
        <v>171</v>
      </c>
      <c r="J146" s="77"/>
    </row>
    <row r="147" spans="3:10" ht="15.75" hidden="1" customHeight="1" thickBot="1" x14ac:dyDescent="0.3">
      <c r="D147" s="94"/>
      <c r="E147" s="94"/>
      <c r="F147" s="118">
        <f>F118*$F$29</f>
        <v>59709.936000000002</v>
      </c>
      <c r="G147" s="118">
        <f>G118*$F$30</f>
        <v>44774.729999999996</v>
      </c>
      <c r="H147" s="118">
        <f>H118*$F$32</f>
        <v>27371.916000000001</v>
      </c>
      <c r="I147" s="118">
        <f>I118*$F$33</f>
        <v>22584.177</v>
      </c>
      <c r="J147" s="77"/>
    </row>
    <row r="148" spans="3:10" ht="39.75" hidden="1" customHeight="1" thickBot="1" x14ac:dyDescent="0.3">
      <c r="C148" s="122" t="s">
        <v>198</v>
      </c>
      <c r="D148" s="205"/>
      <c r="E148" s="206"/>
      <c r="F148" s="128">
        <f>F147</f>
        <v>59709.936000000002</v>
      </c>
      <c r="G148" s="128">
        <f>G147</f>
        <v>44774.729999999996</v>
      </c>
      <c r="H148" s="128">
        <f>H147</f>
        <v>27371.916000000001</v>
      </c>
      <c r="I148" s="129">
        <f>I147</f>
        <v>22584.177</v>
      </c>
      <c r="J148" s="77"/>
    </row>
    <row r="149" spans="3:10" ht="26.25" hidden="1" customHeight="1" x14ac:dyDescent="0.25">
      <c r="C149" t="s">
        <v>70</v>
      </c>
      <c r="D149" s="112"/>
      <c r="E149" s="117" t="s">
        <v>206</v>
      </c>
      <c r="F149" s="112"/>
      <c r="G149" s="112"/>
      <c r="H149" s="112"/>
      <c r="I149" s="112"/>
      <c r="J149" s="77"/>
    </row>
    <row r="150" spans="3:10" ht="15" hidden="1" customHeight="1" x14ac:dyDescent="0.25">
      <c r="D150" s="112"/>
      <c r="E150" s="114">
        <f>E121*$F$26</f>
        <v>41824.829250000003</v>
      </c>
      <c r="F150" s="112"/>
      <c r="G150" s="112"/>
      <c r="H150" s="112"/>
      <c r="I150" s="112"/>
      <c r="J150" s="77"/>
    </row>
    <row r="151" spans="3:10" ht="26.25" hidden="1" customHeight="1" x14ac:dyDescent="0.25">
      <c r="D151" s="112"/>
      <c r="E151" s="87" t="s">
        <v>207</v>
      </c>
      <c r="F151" s="112"/>
      <c r="G151" s="112"/>
      <c r="H151" s="112"/>
      <c r="I151" s="112"/>
      <c r="J151" s="77"/>
    </row>
    <row r="152" spans="3:10" ht="15" hidden="1" customHeight="1" x14ac:dyDescent="0.25">
      <c r="D152" s="112"/>
      <c r="E152" s="121">
        <f>E123*$F$27</f>
        <v>16332.651</v>
      </c>
      <c r="F152" s="112"/>
      <c r="G152" s="112"/>
      <c r="H152" s="112"/>
      <c r="I152" s="112"/>
      <c r="J152" s="77"/>
    </row>
    <row r="153" spans="3:10" ht="64.5" hidden="1" customHeight="1" x14ac:dyDescent="0.25">
      <c r="D153" s="112"/>
      <c r="E153" s="112"/>
      <c r="F153" s="112"/>
      <c r="G153" s="112"/>
      <c r="H153" s="112"/>
      <c r="I153" s="87" t="s">
        <v>235</v>
      </c>
      <c r="J153" s="77"/>
    </row>
    <row r="154" spans="3:10" ht="15" hidden="1" customHeight="1" x14ac:dyDescent="0.25">
      <c r="D154" s="112"/>
      <c r="E154" s="112"/>
      <c r="F154" s="112"/>
      <c r="G154" s="112"/>
      <c r="H154" s="112"/>
      <c r="I154" s="223">
        <f>I125*$F$34</f>
        <v>1783.2149999999997</v>
      </c>
      <c r="J154" s="77"/>
    </row>
    <row r="155" spans="3:10" ht="64.5" hidden="1" customHeight="1" x14ac:dyDescent="0.25">
      <c r="D155" s="112"/>
      <c r="E155" s="112"/>
      <c r="F155" s="112"/>
      <c r="G155" s="112"/>
      <c r="H155" s="112"/>
      <c r="I155" s="87" t="s">
        <v>236</v>
      </c>
      <c r="J155" s="77"/>
    </row>
    <row r="156" spans="3:10" ht="15" hidden="1" customHeight="1" x14ac:dyDescent="0.25">
      <c r="D156" s="112"/>
      <c r="E156" s="112"/>
      <c r="F156" s="112"/>
      <c r="G156" s="112"/>
      <c r="H156" s="112"/>
      <c r="I156" s="223">
        <f>I127*$F$35</f>
        <v>787.82759999999996</v>
      </c>
      <c r="J156" s="77"/>
    </row>
    <row r="157" spans="3:10" ht="51.75" hidden="1" customHeight="1" x14ac:dyDescent="0.25">
      <c r="D157" s="112"/>
      <c r="E157" s="112"/>
      <c r="F157" s="112"/>
      <c r="G157" s="112"/>
      <c r="H157" s="112"/>
      <c r="I157" s="87" t="s">
        <v>237</v>
      </c>
      <c r="J157" s="77"/>
    </row>
    <row r="158" spans="3:10" ht="15" hidden="1" customHeight="1" x14ac:dyDescent="0.25">
      <c r="D158" s="112"/>
      <c r="E158" s="112"/>
      <c r="F158" s="112"/>
      <c r="G158" s="112"/>
      <c r="H158" s="112"/>
      <c r="I158" s="223">
        <f>I129*$F$36</f>
        <v>0</v>
      </c>
      <c r="J158" s="77"/>
    </row>
    <row r="159" spans="3:10" ht="51.75" hidden="1" customHeight="1" x14ac:dyDescent="0.25">
      <c r="D159" s="112"/>
      <c r="E159" s="112"/>
      <c r="F159" s="112"/>
      <c r="G159" s="112"/>
      <c r="H159" s="112"/>
      <c r="I159" s="87" t="s">
        <v>238</v>
      </c>
      <c r="J159" s="77"/>
    </row>
    <row r="160" spans="3:10" ht="15.75" hidden="1" customHeight="1" thickBot="1" x14ac:dyDescent="0.3">
      <c r="D160" s="112"/>
      <c r="E160" s="112"/>
      <c r="F160" s="112"/>
      <c r="G160" s="112"/>
      <c r="H160" s="112"/>
      <c r="I160" s="223">
        <f>I131*$F$37</f>
        <v>292.06169999999997</v>
      </c>
      <c r="J160" s="77"/>
    </row>
    <row r="161" spans="1:10" ht="39.75" hidden="1" customHeight="1" thickBot="1" x14ac:dyDescent="0.3">
      <c r="C161" s="122" t="s">
        <v>210</v>
      </c>
      <c r="D161" s="207"/>
      <c r="E161" s="208">
        <f>E150+E152</f>
        <v>58157.480250000001</v>
      </c>
      <c r="F161" s="208"/>
      <c r="G161" s="208"/>
      <c r="H161" s="208"/>
      <c r="I161" s="243">
        <f>I154+I156+I158+I160</f>
        <v>2863.1043</v>
      </c>
      <c r="J161" s="77"/>
    </row>
    <row r="162" spans="1:10" ht="15.75" hidden="1" customHeight="1" thickBot="1" x14ac:dyDescent="0.3">
      <c r="A162" s="101"/>
      <c r="B162" s="101"/>
      <c r="C162" s="101"/>
      <c r="D162" s="101"/>
      <c r="E162" s="101"/>
      <c r="F162" s="101"/>
      <c r="G162" s="101"/>
      <c r="H162" s="101"/>
      <c r="I162" s="101"/>
      <c r="J162" s="105"/>
    </row>
    <row r="163" spans="1:10" s="43" customFormat="1" ht="15" hidden="1" customHeight="1" x14ac:dyDescent="0.25">
      <c r="A163" s="43" t="s">
        <v>127</v>
      </c>
      <c r="C163" s="43" t="s">
        <v>267</v>
      </c>
      <c r="J163" s="248"/>
    </row>
    <row r="164" spans="1:10" ht="15" customHeight="1" x14ac:dyDescent="0.25">
      <c r="J164" s="77"/>
    </row>
    <row r="165" spans="1:10" ht="15.75" thickBot="1" x14ac:dyDescent="0.3">
      <c r="F165" s="294" t="s">
        <v>28</v>
      </c>
    </row>
    <row r="166" spans="1:10" hidden="1" x14ac:dyDescent="0.25">
      <c r="A166" s="83">
        <v>0</v>
      </c>
      <c r="B166" s="83"/>
      <c r="C166" s="565" t="s">
        <v>174</v>
      </c>
      <c r="D166" s="565"/>
      <c r="E166" s="565"/>
      <c r="F166" s="565"/>
    </row>
    <row r="167" spans="1:10" ht="15.75" thickTop="1" x14ac:dyDescent="0.25">
      <c r="A167" s="1" t="s">
        <v>262</v>
      </c>
      <c r="B167" s="1"/>
      <c r="E167" s="292" t="s">
        <v>55</v>
      </c>
      <c r="F167" s="338">
        <v>2017</v>
      </c>
    </row>
    <row r="168" spans="1:10" ht="15.75" thickBot="1" x14ac:dyDescent="0.3">
      <c r="A168" s="152" t="s">
        <v>213</v>
      </c>
      <c r="B168" s="419"/>
      <c r="C168" s="73"/>
      <c r="D168" s="73"/>
      <c r="E168" s="73"/>
      <c r="F168" s="339">
        <v>365</v>
      </c>
    </row>
    <row r="169" spans="1:10" ht="16.5" thickTop="1" thickBot="1" x14ac:dyDescent="0.3">
      <c r="A169" s="144" t="s">
        <v>191</v>
      </c>
      <c r="B169" s="144" t="s">
        <v>287</v>
      </c>
      <c r="C169" s="286" t="s">
        <v>192</v>
      </c>
      <c r="D169" s="287" t="s">
        <v>147</v>
      </c>
      <c r="E169" s="287" t="s">
        <v>148</v>
      </c>
      <c r="F169" s="293" t="s">
        <v>149</v>
      </c>
      <c r="G169" s="287" t="s">
        <v>150</v>
      </c>
      <c r="H169" s="287" t="s">
        <v>151</v>
      </c>
      <c r="I169" s="287" t="s">
        <v>152</v>
      </c>
    </row>
    <row r="170" spans="1:10" s="297" customFormat="1" ht="15.75" thickTop="1" x14ac:dyDescent="0.25">
      <c r="A170" s="305">
        <v>1</v>
      </c>
      <c r="B170" s="299" t="s">
        <v>295</v>
      </c>
      <c r="C170" s="421">
        <v>1.45</v>
      </c>
      <c r="D170" s="307">
        <v>62</v>
      </c>
      <c r="E170" s="307">
        <v>452</v>
      </c>
      <c r="F170" s="307">
        <v>265</v>
      </c>
      <c r="G170" s="307">
        <v>8</v>
      </c>
      <c r="H170" s="307">
        <v>14</v>
      </c>
      <c r="I170" s="308">
        <v>1</v>
      </c>
    </row>
    <row r="171" spans="1:10" s="297" customFormat="1" x14ac:dyDescent="0.25">
      <c r="A171" s="305">
        <f>A170+1</f>
        <v>2</v>
      </c>
      <c r="B171" s="299" t="s">
        <v>296</v>
      </c>
      <c r="C171" s="422">
        <v>1.45</v>
      </c>
      <c r="D171" s="299">
        <v>75</v>
      </c>
      <c r="E171" s="299">
        <v>532</v>
      </c>
      <c r="F171" s="299">
        <v>332</v>
      </c>
      <c r="G171" s="299">
        <v>6</v>
      </c>
      <c r="H171" s="299">
        <v>10</v>
      </c>
      <c r="I171" s="310">
        <v>8</v>
      </c>
    </row>
    <row r="172" spans="1:10" s="297" customFormat="1" x14ac:dyDescent="0.25">
      <c r="A172" s="305">
        <f t="shared" ref="A172:A180" si="6">A171+1</f>
        <v>3</v>
      </c>
      <c r="B172" s="299" t="s">
        <v>297</v>
      </c>
      <c r="C172" s="422">
        <v>0.64</v>
      </c>
      <c r="D172" s="299">
        <v>65</v>
      </c>
      <c r="E172" s="299">
        <v>361</v>
      </c>
      <c r="F172" s="299">
        <v>168</v>
      </c>
      <c r="G172" s="299">
        <v>3</v>
      </c>
      <c r="H172" s="299">
        <v>4</v>
      </c>
      <c r="I172" s="310">
        <v>0</v>
      </c>
    </row>
    <row r="173" spans="1:10" s="297" customFormat="1" x14ac:dyDescent="0.25">
      <c r="A173" s="305">
        <f t="shared" si="6"/>
        <v>4</v>
      </c>
      <c r="B173" s="299"/>
      <c r="C173" s="422">
        <v>0.16</v>
      </c>
      <c r="D173" s="299">
        <v>54</v>
      </c>
      <c r="E173" s="299">
        <v>385</v>
      </c>
      <c r="F173" s="299">
        <v>159</v>
      </c>
      <c r="G173" s="299">
        <v>4</v>
      </c>
      <c r="H173" s="299">
        <v>5</v>
      </c>
      <c r="I173" s="310">
        <v>0</v>
      </c>
    </row>
    <row r="174" spans="1:10" s="297" customFormat="1" x14ac:dyDescent="0.25">
      <c r="A174" s="305">
        <f>A173+1</f>
        <v>5</v>
      </c>
      <c r="B174" s="299"/>
      <c r="C174" s="422">
        <v>1.29</v>
      </c>
      <c r="D174" s="299">
        <v>68</v>
      </c>
      <c r="E174" s="299">
        <v>352</v>
      </c>
      <c r="F174" s="299">
        <v>132</v>
      </c>
      <c r="G174" s="299">
        <v>2</v>
      </c>
      <c r="H174" s="299">
        <v>10</v>
      </c>
      <c r="I174" s="310">
        <v>5</v>
      </c>
    </row>
    <row r="175" spans="1:10" s="297" customFormat="1" x14ac:dyDescent="0.25">
      <c r="A175" s="305">
        <f t="shared" si="6"/>
        <v>6</v>
      </c>
      <c r="B175" s="299"/>
      <c r="C175" s="422">
        <v>0.64</v>
      </c>
      <c r="D175" s="299">
        <v>54</v>
      </c>
      <c r="E175" s="299">
        <v>252</v>
      </c>
      <c r="F175" s="299">
        <v>136</v>
      </c>
      <c r="G175" s="299">
        <v>1</v>
      </c>
      <c r="H175" s="299">
        <v>8</v>
      </c>
      <c r="I175" s="310">
        <v>1</v>
      </c>
    </row>
    <row r="176" spans="1:10" s="297" customFormat="1" x14ac:dyDescent="0.25">
      <c r="A176" s="305">
        <f t="shared" si="6"/>
        <v>7</v>
      </c>
      <c r="B176" s="299"/>
      <c r="C176" s="422">
        <v>1.1299999999999999</v>
      </c>
      <c r="D176" s="299">
        <v>80</v>
      </c>
      <c r="E176" s="299">
        <v>563</v>
      </c>
      <c r="F176" s="299">
        <v>252</v>
      </c>
      <c r="G176" s="299">
        <v>7</v>
      </c>
      <c r="H176" s="299">
        <v>25</v>
      </c>
      <c r="I176" s="310">
        <v>6</v>
      </c>
    </row>
    <row r="177" spans="1:10" s="297" customFormat="1" x14ac:dyDescent="0.25">
      <c r="A177" s="305">
        <f>A176+1</f>
        <v>8</v>
      </c>
      <c r="B177" s="299"/>
      <c r="C177" s="422">
        <v>0.83</v>
      </c>
      <c r="D177" s="299">
        <v>20</v>
      </c>
      <c r="E177" s="299">
        <v>125</v>
      </c>
      <c r="F177" s="299">
        <v>15</v>
      </c>
      <c r="G177" s="299">
        <v>1</v>
      </c>
      <c r="H177" s="299">
        <v>2</v>
      </c>
      <c r="I177" s="310">
        <v>1</v>
      </c>
    </row>
    <row r="178" spans="1:10" s="297" customFormat="1" x14ac:dyDescent="0.25">
      <c r="A178" s="305">
        <f t="shared" si="6"/>
        <v>9</v>
      </c>
      <c r="B178" s="299"/>
      <c r="C178" s="422">
        <v>1.29</v>
      </c>
      <c r="D178" s="299">
        <v>45</v>
      </c>
      <c r="E178" s="299">
        <v>386</v>
      </c>
      <c r="F178" s="299">
        <v>142</v>
      </c>
      <c r="G178" s="299">
        <v>8</v>
      </c>
      <c r="H178" s="299">
        <v>8</v>
      </c>
      <c r="I178" s="310">
        <v>1</v>
      </c>
    </row>
    <row r="179" spans="1:10" s="297" customFormat="1" x14ac:dyDescent="0.25">
      <c r="A179" s="305">
        <f t="shared" si="6"/>
        <v>10</v>
      </c>
      <c r="B179" s="299"/>
      <c r="C179" s="422">
        <v>0.83</v>
      </c>
      <c r="D179" s="299">
        <v>49</v>
      </c>
      <c r="E179" s="299">
        <v>453</v>
      </c>
      <c r="F179" s="299">
        <v>138</v>
      </c>
      <c r="G179" s="299">
        <v>6</v>
      </c>
      <c r="H179" s="299">
        <v>7</v>
      </c>
      <c r="I179" s="310">
        <v>0</v>
      </c>
    </row>
    <row r="180" spans="1:10" s="297" customFormat="1" x14ac:dyDescent="0.25">
      <c r="A180" s="305">
        <f t="shared" si="6"/>
        <v>11</v>
      </c>
      <c r="B180" s="299"/>
      <c r="C180" s="422">
        <v>1.03</v>
      </c>
      <c r="D180" s="299">
        <v>73</v>
      </c>
      <c r="E180" s="299">
        <v>452</v>
      </c>
      <c r="F180" s="299">
        <v>230</v>
      </c>
      <c r="G180" s="299">
        <v>7</v>
      </c>
      <c r="H180" s="299">
        <v>4</v>
      </c>
      <c r="I180" s="310">
        <v>3</v>
      </c>
    </row>
    <row r="181" spans="1:10" s="297" customFormat="1" ht="15.75" thickBot="1" x14ac:dyDescent="0.3">
      <c r="A181" s="334" t="s">
        <v>243</v>
      </c>
      <c r="B181" s="420"/>
      <c r="C181" s="335"/>
      <c r="D181" s="336"/>
      <c r="E181" s="336"/>
      <c r="F181" s="336"/>
      <c r="G181" s="336"/>
      <c r="H181" s="336"/>
      <c r="I181" s="337"/>
    </row>
    <row r="182" spans="1:10" s="147" customFormat="1" ht="15" customHeight="1" thickTop="1" x14ac:dyDescent="0.25">
      <c r="C182" s="288"/>
      <c r="D182" s="289" t="s">
        <v>153</v>
      </c>
      <c r="E182" s="290"/>
      <c r="F182" s="290"/>
      <c r="G182" s="290"/>
      <c r="H182" s="290"/>
      <c r="I182" s="291"/>
      <c r="J182" s="199"/>
    </row>
    <row r="183" spans="1:10" x14ac:dyDescent="0.25">
      <c r="C183" s="213" t="s">
        <v>260</v>
      </c>
      <c r="D183" s="213" t="s">
        <v>212</v>
      </c>
      <c r="E183" s="213" t="s">
        <v>212</v>
      </c>
      <c r="F183" s="213" t="s">
        <v>212</v>
      </c>
      <c r="G183" s="213" t="s">
        <v>212</v>
      </c>
      <c r="H183" s="213" t="s">
        <v>212</v>
      </c>
      <c r="I183" s="213" t="s">
        <v>212</v>
      </c>
      <c r="J183" s="199"/>
    </row>
    <row r="184" spans="1:10" x14ac:dyDescent="0.25">
      <c r="C184" s="211"/>
      <c r="D184" s="72" t="s">
        <v>147</v>
      </c>
      <c r="E184" s="72" t="s">
        <v>148</v>
      </c>
      <c r="F184" s="72" t="s">
        <v>149</v>
      </c>
      <c r="G184" s="72" t="s">
        <v>150</v>
      </c>
      <c r="H184" s="72" t="s">
        <v>151</v>
      </c>
      <c r="I184" s="72" t="s">
        <v>152</v>
      </c>
      <c r="J184" s="199"/>
    </row>
    <row r="185" spans="1:10" x14ac:dyDescent="0.25">
      <c r="C185" s="134">
        <f t="shared" ref="C185:I185" si="7">SUM(C170:C181)</f>
        <v>10.739999999999998</v>
      </c>
      <c r="D185" s="134">
        <f t="shared" si="7"/>
        <v>645</v>
      </c>
      <c r="E185" s="134">
        <f t="shared" si="7"/>
        <v>4313</v>
      </c>
      <c r="F185" s="134">
        <f t="shared" si="7"/>
        <v>1969</v>
      </c>
      <c r="G185" s="134">
        <f t="shared" si="7"/>
        <v>53</v>
      </c>
      <c r="H185" s="134">
        <f t="shared" si="7"/>
        <v>97</v>
      </c>
      <c r="I185" s="134">
        <f t="shared" si="7"/>
        <v>26</v>
      </c>
      <c r="J185" s="198"/>
    </row>
    <row r="186" spans="1:10" x14ac:dyDescent="0.25">
      <c r="A186" s="215" t="s">
        <v>261</v>
      </c>
      <c r="B186" s="215"/>
      <c r="C186" s="185"/>
      <c r="D186" s="185"/>
      <c r="E186" s="185"/>
      <c r="F186" s="185"/>
      <c r="G186" s="185"/>
      <c r="H186" s="185"/>
      <c r="I186" s="186"/>
      <c r="J186" s="198"/>
    </row>
    <row r="187" spans="1:10" x14ac:dyDescent="0.25">
      <c r="A187" s="185"/>
      <c r="B187" s="185"/>
      <c r="C187" s="185"/>
      <c r="D187" s="185"/>
      <c r="E187" s="185"/>
      <c r="F187" s="185"/>
      <c r="G187" s="185"/>
      <c r="H187" s="185"/>
      <c r="I187" s="186"/>
      <c r="J187" s="187"/>
    </row>
    <row r="188" spans="1:10" x14ac:dyDescent="0.25">
      <c r="A188" s="537" t="s">
        <v>214</v>
      </c>
      <c r="B188" s="537"/>
      <c r="C188" s="537"/>
      <c r="D188" s="537"/>
      <c r="E188" s="537"/>
      <c r="F188" s="537"/>
      <c r="G188" s="537"/>
      <c r="H188" s="57"/>
      <c r="I188" s="57"/>
      <c r="J188" s="57"/>
    </row>
    <row r="189" spans="1:10" ht="51.75" x14ac:dyDescent="0.25">
      <c r="A189" s="71" t="s">
        <v>55</v>
      </c>
      <c r="B189" s="72" t="s">
        <v>147</v>
      </c>
      <c r="C189" s="72" t="s">
        <v>148</v>
      </c>
      <c r="D189" s="72" t="s">
        <v>149</v>
      </c>
      <c r="E189" s="72" t="s">
        <v>150</v>
      </c>
      <c r="F189" s="72" t="s">
        <v>151</v>
      </c>
      <c r="G189" s="72" t="s">
        <v>152</v>
      </c>
      <c r="H189" s="70" t="s">
        <v>155</v>
      </c>
      <c r="I189" s="70" t="s">
        <v>154</v>
      </c>
    </row>
    <row r="190" spans="1:10" x14ac:dyDescent="0.25">
      <c r="A190" s="11">
        <f>F167</f>
        <v>2017</v>
      </c>
      <c r="B190" s="74">
        <f>($D145+$D148+$D161)/1000000</f>
        <v>7.5954278399999992E-2</v>
      </c>
      <c r="C190" s="74">
        <f>($E145+$E148+$E161)/1000000</f>
        <v>0.95452205962500003</v>
      </c>
      <c r="D190" s="74">
        <f>($F145+$F148+$F161)/1000000</f>
        <v>0.677895672</v>
      </c>
      <c r="E190" s="74">
        <f>($G$145+$G$148+$G$161)/1000000</f>
        <v>4.4774729999999999E-2</v>
      </c>
      <c r="F190" s="74">
        <f>($H145+$H148+$H161)/1000000</f>
        <v>3.0870502000000001E-2</v>
      </c>
      <c r="G190" s="74">
        <f>($I145+$I148+$I161)/1000000</f>
        <v>2.5447281299999999E-2</v>
      </c>
      <c r="H190" s="74">
        <f>SUM(B190:G190)</f>
        <v>1.809464523325</v>
      </c>
      <c r="I190" s="103"/>
    </row>
    <row r="191" spans="1:10" x14ac:dyDescent="0.25">
      <c r="A191" s="252"/>
      <c r="B191" s="253">
        <f t="shared" ref="B191:G191" si="8">B190*$F168</f>
        <v>27.723311615999997</v>
      </c>
      <c r="C191" s="253">
        <f t="shared" si="8"/>
        <v>348.40055176312501</v>
      </c>
      <c r="D191" s="253">
        <f t="shared" si="8"/>
        <v>247.43192028000001</v>
      </c>
      <c r="E191" s="253">
        <f t="shared" si="8"/>
        <v>16.342776449999999</v>
      </c>
      <c r="F191" s="253">
        <f t="shared" si="8"/>
        <v>11.267733230000001</v>
      </c>
      <c r="G191" s="253">
        <f t="shared" si="8"/>
        <v>9.2882576745000005</v>
      </c>
      <c r="H191" s="253"/>
      <c r="I191" s="254">
        <f>SUM(B191:G191)</f>
        <v>660.45455101362495</v>
      </c>
    </row>
    <row r="192" spans="1:10" x14ac:dyDescent="0.25">
      <c r="A192" s="99"/>
      <c r="B192" s="99"/>
      <c r="C192" s="99"/>
      <c r="D192" s="99"/>
      <c r="E192" s="99"/>
      <c r="F192" s="99"/>
      <c r="G192" s="99"/>
      <c r="H192" s="99"/>
      <c r="I192" s="99"/>
    </row>
    <row r="193" spans="1:10" x14ac:dyDescent="0.25">
      <c r="A193" s="99"/>
      <c r="B193" s="99"/>
      <c r="C193" s="99"/>
      <c r="D193" s="99"/>
      <c r="E193" s="99"/>
      <c r="F193" s="99"/>
      <c r="G193" s="99"/>
      <c r="H193" s="99"/>
      <c r="I193" s="99"/>
    </row>
    <row r="194" spans="1:10" s="297" customFormat="1" x14ac:dyDescent="0.25">
      <c r="J194"/>
    </row>
    <row r="196" spans="1:10" x14ac:dyDescent="0.25">
      <c r="J196" s="77"/>
    </row>
    <row r="197" spans="1:10" x14ac:dyDescent="0.25">
      <c r="J197" s="77"/>
    </row>
    <row r="198" spans="1:10" x14ac:dyDescent="0.25">
      <c r="J198" s="77"/>
    </row>
    <row r="288" spans="10:10" x14ac:dyDescent="0.25">
      <c r="J288" s="77"/>
    </row>
    <row r="310" ht="15" customHeight="1" x14ac:dyDescent="0.25"/>
  </sheetData>
  <sheetProtection algorithmName="SHA-512" hashValue="adSV8+Ci8SL9xEGBDjsthgiEwNBfnMuwSWlpRhP/o0gfS7CiroY4xW8mxR/n2hUlIsYf7Ayez7aLKTUcSphM6g==" saltValue="FTmyoGLeBmMD+IkcCg4OwQ==" spinCount="100000" sheet="1" insertRows="0" selectLockedCells="1"/>
  <protectedRanges>
    <protectedRange sqref="E42 E43:G43 E44:F44 F45 E46:F46 E47:G47" name="Vehicle Fleet Characteristics_1"/>
  </protectedRanges>
  <mergeCells count="12">
    <mergeCell ref="A188:G188"/>
    <mergeCell ref="F9:G9"/>
    <mergeCell ref="A1:I1"/>
    <mergeCell ref="A3:B3"/>
    <mergeCell ref="A4:B4"/>
    <mergeCell ref="A5:B5"/>
    <mergeCell ref="C166:F166"/>
    <mergeCell ref="A6:B6"/>
    <mergeCell ref="A7:B7"/>
    <mergeCell ref="C9:D9"/>
    <mergeCell ref="C10:G10"/>
    <mergeCell ref="H9:I9"/>
  </mergeCells>
  <pageMargins left="0.43307086614173229" right="0.23622047244094491" top="0.84558823529411764" bottom="0.74803149606299213" header="0.31496062992125984" footer="0.31496062992125984"/>
  <pageSetup paperSize="9" orientation="portrait" r:id="rId1"/>
  <headerFooter>
    <oddHeader>&amp;LMALAYSIAN GREEN TECHNOLOGY AND CLIMATE CHANGE CORPORATION (MGTC)&amp;RMGTC/DC/REC/LCC-011
Version:  1/ JUNE 2022</oddHeader>
    <oddFooter>&amp;L
&amp;A&amp;R
Page &amp;P of &amp;N</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AAF94-A385-4870-8A42-EBC56E095C6F}">
  <sheetPr>
    <tabColor rgb="FF3333FF"/>
  </sheetPr>
  <dimension ref="A1:N310"/>
  <sheetViews>
    <sheetView view="pageLayout" topLeftCell="A4" zoomScale="85" zoomScaleNormal="100" zoomScalePageLayoutView="85" workbookViewId="0">
      <selection activeCell="G175" sqref="G175"/>
    </sheetView>
  </sheetViews>
  <sheetFormatPr defaultColWidth="9.140625" defaultRowHeight="15" x14ac:dyDescent="0.25"/>
  <cols>
    <col min="1" max="1" width="6.85546875" customWidth="1"/>
    <col min="2" max="2" width="20.7109375" customWidth="1"/>
    <col min="3" max="3" width="10.5703125" customWidth="1"/>
    <col min="4" max="7" width="9.5703125" customWidth="1"/>
    <col min="8" max="9" width="10.140625" customWidth="1"/>
    <col min="10" max="10" width="12.42578125" customWidth="1"/>
  </cols>
  <sheetData>
    <row r="1" spans="1:10" ht="16.5" thickBot="1" x14ac:dyDescent="0.3">
      <c r="A1" s="475" t="s">
        <v>136</v>
      </c>
      <c r="B1" s="476"/>
      <c r="C1" s="476"/>
      <c r="D1" s="476"/>
      <c r="E1" s="476"/>
      <c r="F1" s="476"/>
      <c r="G1" s="476"/>
      <c r="H1" s="476"/>
      <c r="I1" s="477"/>
    </row>
    <row r="2" spans="1:10" ht="6.75" customHeight="1" x14ac:dyDescent="0.25"/>
    <row r="3" spans="1:10" x14ac:dyDescent="0.25">
      <c r="A3" s="470" t="s">
        <v>27</v>
      </c>
      <c r="B3" s="470"/>
      <c r="C3" s="423" t="str">
        <f>'Summary (Main)'!D11</f>
        <v>LCC-Z-B090-XX-XXXX</v>
      </c>
      <c r="D3" s="423"/>
      <c r="E3" s="423"/>
      <c r="F3" s="423"/>
      <c r="G3" s="423"/>
      <c r="H3" s="423"/>
      <c r="I3" s="423"/>
    </row>
    <row r="4" spans="1:10" x14ac:dyDescent="0.25">
      <c r="A4" s="470" t="s">
        <v>78</v>
      </c>
      <c r="B4" s="470"/>
      <c r="C4" s="423" t="str">
        <f>'Summary (Main)'!D12</f>
        <v>MAJLIS PERBANDARAN XXY</v>
      </c>
      <c r="D4" s="423"/>
      <c r="E4" s="423"/>
      <c r="F4" s="423"/>
      <c r="G4" s="423"/>
      <c r="H4" s="423"/>
      <c r="I4" s="423"/>
    </row>
    <row r="5" spans="1:10" x14ac:dyDescent="0.25">
      <c r="A5" s="470" t="s">
        <v>0</v>
      </c>
      <c r="B5" s="470"/>
      <c r="C5" s="423" t="str">
        <f>'Summary (Main)'!D13</f>
        <v>MAJLIS PERBANDARAN XXY</v>
      </c>
      <c r="D5" s="423"/>
      <c r="E5" s="423"/>
      <c r="F5" s="423"/>
      <c r="G5" s="423"/>
      <c r="H5" s="423"/>
      <c r="I5" s="423"/>
    </row>
    <row r="6" spans="1:10" x14ac:dyDescent="0.25">
      <c r="A6" s="470" t="s">
        <v>129</v>
      </c>
      <c r="B6" s="470"/>
      <c r="C6" s="423">
        <f>'Summary (Main)'!D14</f>
        <v>77432</v>
      </c>
      <c r="D6" s="423"/>
      <c r="E6" s="423"/>
      <c r="F6" s="423"/>
      <c r="G6" s="423"/>
      <c r="H6" s="423"/>
      <c r="I6" s="423"/>
    </row>
    <row r="7" spans="1:10" x14ac:dyDescent="0.25">
      <c r="A7" s="470" t="s">
        <v>137</v>
      </c>
      <c r="B7" s="470"/>
      <c r="C7" s="423">
        <f>'Summary (Main)'!D15</f>
        <v>451.36</v>
      </c>
      <c r="D7" s="423"/>
      <c r="E7" s="423"/>
      <c r="F7" s="423"/>
      <c r="G7" s="423"/>
      <c r="H7" s="423"/>
      <c r="I7" s="423"/>
    </row>
    <row r="8" spans="1:10" ht="6.75" customHeight="1" x14ac:dyDescent="0.25">
      <c r="A8" s="5"/>
      <c r="B8" s="5"/>
      <c r="C8" s="5"/>
      <c r="D8" s="5"/>
    </row>
    <row r="9" spans="1:10" x14ac:dyDescent="0.25">
      <c r="A9" s="1" t="s">
        <v>7</v>
      </c>
      <c r="B9" s="1"/>
      <c r="C9" s="580" t="s">
        <v>240</v>
      </c>
      <c r="D9" s="581"/>
      <c r="E9" s="6"/>
      <c r="F9" s="498" t="s">
        <v>12</v>
      </c>
      <c r="G9" s="498"/>
      <c r="H9" s="501" t="s">
        <v>60</v>
      </c>
      <c r="I9" s="502"/>
      <c r="J9" s="194"/>
    </row>
    <row r="10" spans="1:10" x14ac:dyDescent="0.25">
      <c r="A10" s="1" t="s">
        <v>6</v>
      </c>
      <c r="B10" s="1"/>
      <c r="C10" s="514" t="s">
        <v>139</v>
      </c>
      <c r="D10" s="515"/>
      <c r="E10" s="515"/>
      <c r="F10" s="515"/>
      <c r="G10" s="516"/>
    </row>
    <row r="11" spans="1:10" ht="15" hidden="1" customHeight="1" x14ac:dyDescent="0.25">
      <c r="A11" s="190" t="s">
        <v>127</v>
      </c>
      <c r="B11" s="190"/>
      <c r="C11" s="178" t="s">
        <v>245</v>
      </c>
      <c r="D11" s="178"/>
      <c r="E11" s="178"/>
      <c r="F11" s="178"/>
      <c r="G11" s="178"/>
      <c r="H11" s="178"/>
      <c r="I11" s="178"/>
      <c r="J11" s="178"/>
    </row>
    <row r="12" spans="1:10" ht="15" hidden="1" customHeight="1" x14ac:dyDescent="0.25">
      <c r="A12" s="1" t="s">
        <v>9</v>
      </c>
      <c r="B12" s="1"/>
      <c r="D12" s="523" t="s">
        <v>68</v>
      </c>
      <c r="E12" s="523"/>
      <c r="F12" s="13">
        <f>'Mobility 2 - Estimate'!G13</f>
        <v>1.92</v>
      </c>
      <c r="G12" s="522" t="s">
        <v>71</v>
      </c>
      <c r="H12" s="522"/>
      <c r="I12" s="194" t="s">
        <v>72</v>
      </c>
      <c r="J12" s="194"/>
    </row>
    <row r="13" spans="1:10" ht="15" hidden="1" customHeight="1" x14ac:dyDescent="0.25">
      <c r="D13" s="523" t="s">
        <v>69</v>
      </c>
      <c r="E13" s="523"/>
      <c r="F13" s="13">
        <f>'Mobility 2 - Estimate'!G14</f>
        <v>2.74</v>
      </c>
      <c r="G13" s="522" t="s">
        <v>71</v>
      </c>
      <c r="H13" s="522"/>
      <c r="I13" s="194" t="s">
        <v>72</v>
      </c>
      <c r="J13" s="194"/>
    </row>
    <row r="14" spans="1:10" ht="15" hidden="1" customHeight="1" x14ac:dyDescent="0.25">
      <c r="D14" s="523" t="s">
        <v>70</v>
      </c>
      <c r="E14" s="523"/>
      <c r="F14" s="13">
        <f>'Mobility 2 - Estimate'!G15</f>
        <v>59.19</v>
      </c>
      <c r="G14" s="522" t="s">
        <v>81</v>
      </c>
      <c r="H14" s="522"/>
      <c r="I14" s="194" t="s">
        <v>72</v>
      </c>
      <c r="J14" s="194"/>
    </row>
    <row r="15" spans="1:10" ht="15" hidden="1" customHeight="1" x14ac:dyDescent="0.25">
      <c r="D15" s="523" t="s">
        <v>61</v>
      </c>
      <c r="E15" s="523"/>
      <c r="F15" s="13">
        <f>'Mobility 2 - Estimate'!G16</f>
        <v>0.18368000000000001</v>
      </c>
      <c r="G15" s="522" t="s">
        <v>62</v>
      </c>
      <c r="H15" s="522"/>
      <c r="I15" s="194" t="s">
        <v>63</v>
      </c>
      <c r="J15" s="194"/>
    </row>
    <row r="16" spans="1:10" ht="15" hidden="1" customHeight="1" x14ac:dyDescent="0.25">
      <c r="D16" s="523" t="s">
        <v>64</v>
      </c>
      <c r="E16" s="523"/>
      <c r="F16" s="13">
        <f>'Mobility 2 - Estimate'!G17</f>
        <v>0.11529</v>
      </c>
      <c r="G16" s="522" t="s">
        <v>62</v>
      </c>
      <c r="H16" s="522"/>
      <c r="I16" s="194" t="s">
        <v>63</v>
      </c>
      <c r="J16" s="194"/>
    </row>
    <row r="17" spans="4:10" ht="15" hidden="1" customHeight="1" x14ac:dyDescent="0.25">
      <c r="D17" s="523" t="s">
        <v>65</v>
      </c>
      <c r="E17" s="523"/>
      <c r="F17" s="13">
        <f>'Mobility 2 - Estimate'!G18</f>
        <v>0.79100000000000004</v>
      </c>
      <c r="G17" s="522" t="s">
        <v>62</v>
      </c>
      <c r="H17" s="522"/>
      <c r="I17" s="194" t="s">
        <v>66</v>
      </c>
      <c r="J17" s="194"/>
    </row>
    <row r="18" spans="4:10" ht="15" hidden="1" customHeight="1" x14ac:dyDescent="0.25">
      <c r="D18" s="204" t="s">
        <v>250</v>
      </c>
      <c r="E18" s="6"/>
      <c r="F18" s="13">
        <f>'Mobility 2 - Estimate'!G19</f>
        <v>59.4</v>
      </c>
      <c r="G18" s="3" t="s">
        <v>182</v>
      </c>
      <c r="H18" s="3"/>
      <c r="I18" s="182"/>
      <c r="J18" s="182"/>
    </row>
    <row r="19" spans="4:10" ht="15" hidden="1" customHeight="1" x14ac:dyDescent="0.25">
      <c r="D19" s="6" t="s">
        <v>183</v>
      </c>
      <c r="E19" s="6"/>
      <c r="F19" s="13">
        <f>'Mobility 2 - Estimate'!G20</f>
        <v>98.8</v>
      </c>
      <c r="G19" s="3" t="s">
        <v>182</v>
      </c>
      <c r="H19" s="3"/>
      <c r="I19" s="182"/>
      <c r="J19" s="182"/>
    </row>
    <row r="20" spans="4:10" ht="15" hidden="1" customHeight="1" x14ac:dyDescent="0.25">
      <c r="D20" s="6" t="s">
        <v>184</v>
      </c>
      <c r="E20" s="6"/>
      <c r="F20" s="13">
        <f>'Mobility 2 - Estimate'!G21</f>
        <v>125</v>
      </c>
      <c r="G20" s="3" t="s">
        <v>182</v>
      </c>
      <c r="H20" s="3"/>
      <c r="I20" s="182"/>
      <c r="J20" s="182"/>
    </row>
    <row r="21" spans="4:10" ht="15" hidden="1" customHeight="1" x14ac:dyDescent="0.25">
      <c r="D21" s="204" t="s">
        <v>255</v>
      </c>
      <c r="E21" s="6"/>
      <c r="F21" s="13">
        <f>'Mobility 2 - Estimate'!G22</f>
        <v>273</v>
      </c>
      <c r="G21" s="3" t="s">
        <v>182</v>
      </c>
      <c r="H21" s="3"/>
      <c r="I21" s="182"/>
      <c r="J21" s="182"/>
    </row>
    <row r="22" spans="4:10" ht="15" hidden="1" customHeight="1" x14ac:dyDescent="0.25">
      <c r="D22" s="204" t="s">
        <v>254</v>
      </c>
      <c r="E22" s="6"/>
      <c r="F22" s="13">
        <f>'Mobility 2 - Estimate'!G23</f>
        <v>228</v>
      </c>
      <c r="G22" s="3" t="s">
        <v>182</v>
      </c>
      <c r="H22" s="3"/>
      <c r="I22" s="182"/>
      <c r="J22" s="182"/>
    </row>
    <row r="23" spans="4:10" ht="15" hidden="1" customHeight="1" x14ac:dyDescent="0.25">
      <c r="D23" s="204" t="s">
        <v>253</v>
      </c>
      <c r="E23" s="6"/>
      <c r="F23" s="13">
        <f>'Mobility 2 - Estimate'!G24</f>
        <v>203</v>
      </c>
      <c r="G23" s="3" t="s">
        <v>182</v>
      </c>
      <c r="H23" s="3"/>
      <c r="I23" s="182"/>
      <c r="J23" s="182"/>
    </row>
    <row r="24" spans="4:10" ht="15" hidden="1" customHeight="1" x14ac:dyDescent="0.25">
      <c r="D24" s="6" t="s">
        <v>185</v>
      </c>
      <c r="E24" s="6"/>
      <c r="F24" s="13">
        <f>'Mobility 2 - Estimate'!G25</f>
        <v>193</v>
      </c>
      <c r="G24" s="3" t="s">
        <v>182</v>
      </c>
      <c r="H24" s="3"/>
      <c r="I24" s="182"/>
      <c r="J24" s="182"/>
    </row>
    <row r="25" spans="4:10" ht="15" hidden="1" customHeight="1" x14ac:dyDescent="0.25">
      <c r="D25" s="6" t="s">
        <v>186</v>
      </c>
      <c r="E25" s="6"/>
      <c r="F25" s="13">
        <f>'Mobility 2 - Estimate'!G26</f>
        <v>221</v>
      </c>
      <c r="G25" s="3" t="s">
        <v>182</v>
      </c>
      <c r="H25" s="3"/>
      <c r="I25" s="182"/>
      <c r="J25" s="182"/>
    </row>
    <row r="26" spans="4:10" ht="15" hidden="1" customHeight="1" x14ac:dyDescent="0.25">
      <c r="D26" s="113" t="s">
        <v>208</v>
      </c>
      <c r="E26" s="6"/>
      <c r="F26" s="13">
        <f>'Mobility 2 - Estimate'!G27</f>
        <v>379</v>
      </c>
      <c r="G26" s="3" t="s">
        <v>182</v>
      </c>
      <c r="H26" s="3"/>
      <c r="I26" s="182"/>
      <c r="J26" s="182"/>
    </row>
    <row r="27" spans="4:10" ht="15" hidden="1" customHeight="1" x14ac:dyDescent="0.25">
      <c r="D27" s="113" t="s">
        <v>209</v>
      </c>
      <c r="E27" s="6"/>
      <c r="F27" s="13">
        <f>'Mobility 2 - Estimate'!G28</f>
        <v>148</v>
      </c>
      <c r="G27" s="3" t="s">
        <v>182</v>
      </c>
      <c r="H27" s="3"/>
      <c r="I27" s="182"/>
      <c r="J27" s="182"/>
    </row>
    <row r="28" spans="4:10" ht="15" hidden="1" customHeight="1" x14ac:dyDescent="0.25">
      <c r="D28" s="6" t="s">
        <v>187</v>
      </c>
      <c r="E28" s="6"/>
      <c r="F28" s="13">
        <f>'Mobility 2 - Estimate'!G29</f>
        <v>329</v>
      </c>
      <c r="G28" s="3" t="s">
        <v>182</v>
      </c>
      <c r="H28" s="3"/>
      <c r="I28" s="182"/>
      <c r="J28" s="182"/>
    </row>
    <row r="29" spans="4:10" ht="15" hidden="1" customHeight="1" x14ac:dyDescent="0.25">
      <c r="D29" s="113" t="s">
        <v>211</v>
      </c>
      <c r="E29" s="6"/>
      <c r="F29" s="13">
        <f>'Mobility 2 - Estimate'!G30</f>
        <v>286</v>
      </c>
      <c r="G29" s="3" t="s">
        <v>182</v>
      </c>
      <c r="H29" s="3"/>
      <c r="I29" s="182"/>
      <c r="J29" s="182"/>
    </row>
    <row r="30" spans="4:10" ht="15" hidden="1" customHeight="1" x14ac:dyDescent="0.25">
      <c r="D30" s="6" t="s">
        <v>188</v>
      </c>
      <c r="E30" s="6"/>
      <c r="F30" s="13">
        <f>'Mobility 2 - Estimate'!G31</f>
        <v>781</v>
      </c>
      <c r="G30" s="3" t="s">
        <v>182</v>
      </c>
      <c r="H30" s="3"/>
      <c r="I30" s="182"/>
      <c r="J30" s="182"/>
    </row>
    <row r="31" spans="4:10" ht="15" hidden="1" customHeight="1" x14ac:dyDescent="0.25">
      <c r="D31" s="113" t="s">
        <v>205</v>
      </c>
      <c r="E31" s="6"/>
      <c r="F31" s="13">
        <f>'Mobility 2 - Estimate'!G32</f>
        <v>329</v>
      </c>
      <c r="G31" s="3" t="s">
        <v>182</v>
      </c>
      <c r="H31" s="3"/>
      <c r="I31" s="182"/>
      <c r="J31" s="182"/>
    </row>
    <row r="32" spans="4:10" ht="15" hidden="1" customHeight="1" x14ac:dyDescent="0.25">
      <c r="D32" s="6" t="s">
        <v>189</v>
      </c>
      <c r="E32" s="6"/>
      <c r="F32" s="13">
        <f>'Mobility 2 - Estimate'!G33</f>
        <v>286</v>
      </c>
      <c r="G32" s="3" t="s">
        <v>182</v>
      </c>
      <c r="H32" s="3"/>
      <c r="I32" s="182"/>
      <c r="J32" s="182"/>
    </row>
    <row r="33" spans="1:10" ht="15" hidden="1" customHeight="1" x14ac:dyDescent="0.25">
      <c r="D33" s="6" t="s">
        <v>190</v>
      </c>
      <c r="E33" s="6"/>
      <c r="F33" s="13">
        <f>'Mobility 2 - Estimate'!G34</f>
        <v>781</v>
      </c>
      <c r="G33" s="3" t="s">
        <v>182</v>
      </c>
      <c r="H33" s="3"/>
      <c r="I33" s="182"/>
      <c r="J33" s="182"/>
    </row>
    <row r="34" spans="1:10" ht="15" hidden="1" customHeight="1" x14ac:dyDescent="0.25">
      <c r="D34" s="204" t="s">
        <v>256</v>
      </c>
      <c r="E34" s="6"/>
      <c r="F34" s="13">
        <f>'Mobility 2 - Estimate'!G35</f>
        <v>1110</v>
      </c>
      <c r="G34" s="3" t="s">
        <v>182</v>
      </c>
      <c r="H34" s="3"/>
      <c r="I34" s="182"/>
      <c r="J34" s="182"/>
    </row>
    <row r="35" spans="1:10" ht="15" hidden="1" customHeight="1" x14ac:dyDescent="0.25">
      <c r="D35" s="204" t="s">
        <v>257</v>
      </c>
      <c r="E35" s="6"/>
      <c r="F35" s="13">
        <f>'Mobility 2 - Estimate'!G36</f>
        <v>613</v>
      </c>
      <c r="G35" s="3" t="s">
        <v>182</v>
      </c>
      <c r="H35" s="3"/>
      <c r="I35" s="182"/>
      <c r="J35" s="182"/>
    </row>
    <row r="36" spans="1:10" ht="15" hidden="1" customHeight="1" x14ac:dyDescent="0.25">
      <c r="D36" s="204" t="s">
        <v>258</v>
      </c>
      <c r="E36" s="6"/>
      <c r="F36" s="13">
        <f>'Mobility 2 - Estimate'!G37</f>
        <v>1200</v>
      </c>
      <c r="G36" s="3" t="s">
        <v>182</v>
      </c>
      <c r="H36" s="3"/>
      <c r="I36" s="182"/>
      <c r="J36" s="182"/>
    </row>
    <row r="37" spans="1:10" ht="15" hidden="1" customHeight="1" x14ac:dyDescent="0.25">
      <c r="D37" s="204" t="s">
        <v>259</v>
      </c>
      <c r="E37" s="6"/>
      <c r="F37" s="13">
        <f>'Mobility 2 - Estimate'!G38</f>
        <v>909</v>
      </c>
      <c r="G37" s="3" t="s">
        <v>182</v>
      </c>
      <c r="H37" s="3"/>
      <c r="I37" s="182"/>
      <c r="J37" s="182"/>
    </row>
    <row r="38" spans="1:10" ht="14.25" hidden="1" customHeight="1" x14ac:dyDescent="0.25">
      <c r="A38" s="1"/>
      <c r="B38" s="1"/>
      <c r="D38" s="6"/>
      <c r="G38" s="3"/>
      <c r="H38" s="3"/>
      <c r="I38" s="182"/>
      <c r="J38" s="182"/>
    </row>
    <row r="39" spans="1:10" s="189" customFormat="1" ht="15" hidden="1" customHeight="1" x14ac:dyDescent="0.25">
      <c r="A39" s="47" t="s">
        <v>127</v>
      </c>
      <c r="B39" s="47"/>
      <c r="C39" s="43" t="s">
        <v>246</v>
      </c>
      <c r="D39" s="190"/>
      <c r="E39" s="190"/>
      <c r="F39" s="191"/>
      <c r="G39" s="192"/>
      <c r="H39" s="192"/>
      <c r="I39" s="193"/>
      <c r="J39" s="193"/>
    </row>
    <row r="40" spans="1:10" s="172" customFormat="1" ht="15" hidden="1" customHeight="1" x14ac:dyDescent="0.25">
      <c r="A40" s="47" t="s">
        <v>127</v>
      </c>
      <c r="B40" s="47"/>
      <c r="C40" s="43" t="s">
        <v>215</v>
      </c>
      <c r="D40" s="173"/>
      <c r="E40" s="173"/>
      <c r="F40" s="174"/>
      <c r="G40" s="175"/>
      <c r="H40" s="175"/>
      <c r="I40" s="176"/>
      <c r="J40" s="176"/>
    </row>
    <row r="41" spans="1:10" ht="33.75" hidden="1" customHeight="1" x14ac:dyDescent="0.25">
      <c r="C41" s="158">
        <v>2</v>
      </c>
      <c r="D41" s="171" t="s">
        <v>216</v>
      </c>
      <c r="E41" s="155" t="s">
        <v>166</v>
      </c>
      <c r="F41" s="155" t="s">
        <v>69</v>
      </c>
      <c r="G41" s="155" t="s">
        <v>70</v>
      </c>
      <c r="H41" s="159" t="s">
        <v>220</v>
      </c>
      <c r="I41" s="182"/>
      <c r="J41" s="182"/>
    </row>
    <row r="42" spans="1:10" ht="15" hidden="1" customHeight="1" x14ac:dyDescent="0.25">
      <c r="D42" s="156" t="s">
        <v>147</v>
      </c>
      <c r="E42" s="162">
        <v>100</v>
      </c>
      <c r="F42" s="157"/>
      <c r="G42" s="157"/>
      <c r="H42" s="169">
        <f>SUM(E42)</f>
        <v>100</v>
      </c>
      <c r="I42" s="182"/>
      <c r="J42" s="182"/>
    </row>
    <row r="43" spans="1:10" ht="15" hidden="1" customHeight="1" x14ac:dyDescent="0.25">
      <c r="D43" s="156" t="s">
        <v>217</v>
      </c>
      <c r="E43" s="162">
        <v>95</v>
      </c>
      <c r="F43" s="162">
        <v>0</v>
      </c>
      <c r="G43" s="162">
        <v>5</v>
      </c>
      <c r="H43" s="169">
        <f>SUM(E43:G43)</f>
        <v>100</v>
      </c>
      <c r="I43" s="182"/>
      <c r="J43" s="182"/>
    </row>
    <row r="44" spans="1:10" ht="15" hidden="1" customHeight="1" x14ac:dyDescent="0.25">
      <c r="D44" s="156" t="s">
        <v>149</v>
      </c>
      <c r="E44" s="162">
        <v>90</v>
      </c>
      <c r="F44" s="162">
        <v>10</v>
      </c>
      <c r="G44" s="157"/>
      <c r="H44" s="169">
        <f>SUM(E44:F44)</f>
        <v>100</v>
      </c>
      <c r="I44" s="182"/>
      <c r="J44" s="182"/>
    </row>
    <row r="45" spans="1:10" ht="15" hidden="1" customHeight="1" x14ac:dyDescent="0.25">
      <c r="D45" s="156" t="s">
        <v>150</v>
      </c>
      <c r="E45" s="157"/>
      <c r="F45" s="162">
        <v>100</v>
      </c>
      <c r="G45" s="157"/>
      <c r="H45" s="169">
        <f>SUM(E45:G45)</f>
        <v>100</v>
      </c>
      <c r="I45" s="182"/>
      <c r="J45" s="182"/>
    </row>
    <row r="46" spans="1:10" ht="15" hidden="1" customHeight="1" x14ac:dyDescent="0.25">
      <c r="D46" s="156" t="s">
        <v>218</v>
      </c>
      <c r="E46" s="162">
        <v>10</v>
      </c>
      <c r="F46" s="162">
        <v>90</v>
      </c>
      <c r="G46" s="157"/>
      <c r="H46" s="169">
        <f>SUM(E46:G46)</f>
        <v>100</v>
      </c>
      <c r="I46" s="182"/>
      <c r="J46" s="182"/>
    </row>
    <row r="47" spans="1:10" ht="15" hidden="1" customHeight="1" x14ac:dyDescent="0.25">
      <c r="D47" s="156" t="s">
        <v>219</v>
      </c>
      <c r="E47" s="162">
        <v>0</v>
      </c>
      <c r="F47" s="162">
        <v>90</v>
      </c>
      <c r="G47" s="162">
        <v>10</v>
      </c>
      <c r="H47" s="169">
        <f>SUM(E47:G47)</f>
        <v>100</v>
      </c>
      <c r="I47" s="182"/>
      <c r="J47" s="182"/>
    </row>
    <row r="48" spans="1:10" ht="15" hidden="1" customHeight="1" x14ac:dyDescent="0.25">
      <c r="D48" s="6"/>
      <c r="E48" s="6"/>
      <c r="F48" s="13"/>
      <c r="G48" s="3"/>
      <c r="H48" s="3"/>
      <c r="I48" s="182"/>
      <c r="J48" s="182"/>
    </row>
    <row r="49" spans="3:14" ht="15" hidden="1" customHeight="1" x14ac:dyDescent="0.25">
      <c r="C49" s="164">
        <v>3</v>
      </c>
      <c r="D49" s="5" t="s">
        <v>229</v>
      </c>
      <c r="E49" s="6"/>
      <c r="F49" s="13"/>
      <c r="G49" s="3"/>
      <c r="H49" s="3"/>
      <c r="I49" s="182"/>
      <c r="J49" s="182"/>
    </row>
    <row r="50" spans="3:14" s="151" customFormat="1" ht="51" hidden="1" customHeight="1" x14ac:dyDescent="0.2">
      <c r="D50" s="165" t="s">
        <v>221</v>
      </c>
      <c r="E50" s="163" t="s">
        <v>206</v>
      </c>
      <c r="F50" s="163" t="s">
        <v>222</v>
      </c>
      <c r="G50" s="163" t="s">
        <v>223</v>
      </c>
      <c r="H50" s="163" t="s">
        <v>224</v>
      </c>
      <c r="I50" s="163" t="s">
        <v>225</v>
      </c>
      <c r="J50" s="163" t="s">
        <v>226</v>
      </c>
      <c r="K50" s="163" t="s">
        <v>227</v>
      </c>
      <c r="L50" s="163" t="s">
        <v>167</v>
      </c>
      <c r="M50" s="163" t="s">
        <v>168</v>
      </c>
      <c r="N50" s="163" t="s">
        <v>228</v>
      </c>
    </row>
    <row r="51" spans="3:14" ht="15" hidden="1" customHeight="1" x14ac:dyDescent="0.25">
      <c r="D51" s="162" t="s">
        <v>147</v>
      </c>
      <c r="E51" s="157"/>
      <c r="F51" s="157"/>
      <c r="G51" s="157"/>
      <c r="H51" s="157"/>
      <c r="I51" s="157"/>
      <c r="J51" s="157"/>
      <c r="K51" s="162">
        <v>5</v>
      </c>
      <c r="L51" s="162">
        <v>20</v>
      </c>
      <c r="M51" s="162">
        <v>75</v>
      </c>
      <c r="N51" s="170">
        <f>SUM(K51:M51)</f>
        <v>100</v>
      </c>
    </row>
    <row r="52" spans="3:14" ht="15" hidden="1" customHeight="1" x14ac:dyDescent="0.25">
      <c r="D52" s="162" t="s">
        <v>217</v>
      </c>
      <c r="E52" s="162">
        <v>5</v>
      </c>
      <c r="F52" s="157"/>
      <c r="G52" s="162">
        <v>5</v>
      </c>
      <c r="H52" s="162">
        <v>10</v>
      </c>
      <c r="I52" s="162">
        <v>30</v>
      </c>
      <c r="J52" s="162">
        <v>50</v>
      </c>
      <c r="K52" s="157"/>
      <c r="L52" s="157"/>
      <c r="M52" s="157"/>
      <c r="N52" s="170">
        <f>SUM(E52,G52:J52)</f>
        <v>100</v>
      </c>
    </row>
    <row r="53" spans="3:14" ht="15" hidden="1" customHeight="1" x14ac:dyDescent="0.25">
      <c r="D53" s="162" t="s">
        <v>149</v>
      </c>
      <c r="E53" s="157"/>
      <c r="F53" s="162">
        <v>100</v>
      </c>
      <c r="G53" s="157"/>
      <c r="H53" s="157"/>
      <c r="I53" s="157"/>
      <c r="J53" s="157"/>
      <c r="K53" s="157"/>
      <c r="L53" s="157"/>
      <c r="M53" s="157"/>
      <c r="N53" s="170">
        <f>SUM(F53)</f>
        <v>100</v>
      </c>
    </row>
    <row r="54" spans="3:14" ht="15" hidden="1" customHeight="1" x14ac:dyDescent="0.25">
      <c r="D54" s="162" t="s">
        <v>150</v>
      </c>
      <c r="E54" s="157"/>
      <c r="F54" s="157"/>
      <c r="G54" s="157"/>
      <c r="H54" s="157"/>
      <c r="I54" s="157"/>
      <c r="J54" s="157"/>
      <c r="K54" s="157"/>
      <c r="L54" s="157"/>
      <c r="M54" s="157"/>
      <c r="N54" s="170">
        <v>0</v>
      </c>
    </row>
    <row r="55" spans="3:14" ht="15" hidden="1" customHeight="1" x14ac:dyDescent="0.25">
      <c r="D55" s="162" t="s">
        <v>218</v>
      </c>
      <c r="E55" s="157"/>
      <c r="F55" s="162">
        <v>100</v>
      </c>
      <c r="G55" s="157"/>
      <c r="H55" s="157"/>
      <c r="I55" s="157"/>
      <c r="J55" s="157"/>
      <c r="K55" s="157"/>
      <c r="L55" s="157"/>
      <c r="M55" s="157"/>
      <c r="N55" s="170">
        <f>SUM(F55)</f>
        <v>100</v>
      </c>
    </row>
    <row r="56" spans="3:14" ht="15" hidden="1" customHeight="1" x14ac:dyDescent="0.25">
      <c r="D56" s="162" t="s">
        <v>219</v>
      </c>
      <c r="E56" s="162">
        <f xml:space="preserve"> [1]Fleet!D34/100 * [1]Calc1!D37</f>
        <v>0</v>
      </c>
      <c r="F56" s="157"/>
      <c r="G56" s="157"/>
      <c r="H56" s="157"/>
      <c r="I56" s="157"/>
      <c r="J56" s="157"/>
      <c r="K56" s="157"/>
      <c r="L56" s="157"/>
      <c r="M56" s="157"/>
      <c r="N56" s="170">
        <f>SUM(E56)</f>
        <v>0</v>
      </c>
    </row>
    <row r="57" spans="3:14" ht="15" hidden="1" customHeight="1" x14ac:dyDescent="0.25">
      <c r="D57" s="5" t="s">
        <v>232</v>
      </c>
      <c r="E57" s="6"/>
      <c r="F57" s="13"/>
      <c r="G57" s="3"/>
      <c r="H57" s="3"/>
      <c r="I57" s="182"/>
      <c r="J57" s="182"/>
    </row>
    <row r="58" spans="3:14" ht="60" hidden="1" customHeight="1" x14ac:dyDescent="0.25">
      <c r="D58" s="160" t="s">
        <v>230</v>
      </c>
      <c r="E58" s="161" t="s">
        <v>222</v>
      </c>
      <c r="F58" s="161" t="s">
        <v>231</v>
      </c>
      <c r="G58" s="3"/>
      <c r="H58" s="3"/>
      <c r="I58" s="182"/>
      <c r="J58" s="182"/>
    </row>
    <row r="59" spans="3:14" ht="15" hidden="1" customHeight="1" x14ac:dyDescent="0.25">
      <c r="D59" s="162" t="s">
        <v>147</v>
      </c>
      <c r="E59" s="157"/>
      <c r="F59" s="169">
        <v>0</v>
      </c>
      <c r="G59" s="3"/>
      <c r="H59" s="3"/>
      <c r="I59" s="182"/>
      <c r="J59" s="182"/>
    </row>
    <row r="60" spans="3:14" ht="15" hidden="1" customHeight="1" x14ac:dyDescent="0.25">
      <c r="D60" s="162" t="s">
        <v>217</v>
      </c>
      <c r="E60" s="162">
        <f xml:space="preserve"> [1]Fleet!D40/100 * [1]Calc1!E33</f>
        <v>0</v>
      </c>
      <c r="F60" s="169">
        <f>SUM(E60)</f>
        <v>0</v>
      </c>
      <c r="G60" s="3"/>
      <c r="H60" s="3"/>
      <c r="I60" s="182"/>
      <c r="J60" s="182"/>
    </row>
    <row r="61" spans="3:14" ht="15" hidden="1" customHeight="1" x14ac:dyDescent="0.25">
      <c r="D61" s="162" t="s">
        <v>149</v>
      </c>
      <c r="E61" s="162">
        <v>100</v>
      </c>
      <c r="F61" s="169">
        <f>SUM(E61)</f>
        <v>100</v>
      </c>
      <c r="G61" s="3"/>
      <c r="H61" s="3"/>
      <c r="I61" s="182"/>
      <c r="J61" s="182"/>
    </row>
    <row r="62" spans="3:14" ht="15" hidden="1" customHeight="1" x14ac:dyDescent="0.25">
      <c r="D62" s="162" t="s">
        <v>150</v>
      </c>
      <c r="E62" s="162">
        <v>100</v>
      </c>
      <c r="F62" s="169">
        <f>SUM(E62)</f>
        <v>100</v>
      </c>
      <c r="G62" s="3"/>
      <c r="H62" s="3"/>
      <c r="I62" s="182"/>
      <c r="J62" s="182"/>
    </row>
    <row r="63" spans="3:14" ht="15" hidden="1" customHeight="1" x14ac:dyDescent="0.25">
      <c r="D63" s="162" t="s">
        <v>218</v>
      </c>
      <c r="E63" s="162">
        <v>100</v>
      </c>
      <c r="F63" s="169">
        <f>SUM(E63)</f>
        <v>100</v>
      </c>
      <c r="G63" s="3"/>
      <c r="H63" s="3"/>
      <c r="I63" s="182"/>
      <c r="J63" s="182"/>
    </row>
    <row r="64" spans="3:14" ht="15" hidden="1" customHeight="1" x14ac:dyDescent="0.25">
      <c r="D64" s="162" t="s">
        <v>219</v>
      </c>
      <c r="E64" s="162">
        <v>100</v>
      </c>
      <c r="F64" s="169">
        <f>SUM(E64)</f>
        <v>100</v>
      </c>
      <c r="G64" s="3"/>
      <c r="H64" s="3"/>
      <c r="I64" s="182"/>
      <c r="J64" s="182"/>
    </row>
    <row r="65" spans="1:11" ht="15" hidden="1" customHeight="1" x14ac:dyDescent="0.25">
      <c r="D65" s="166"/>
      <c r="E65" s="166"/>
      <c r="F65" s="166"/>
      <c r="G65" s="3"/>
      <c r="H65" s="3"/>
      <c r="I65" s="182"/>
      <c r="J65" s="182"/>
    </row>
    <row r="66" spans="1:11" ht="15" hidden="1" customHeight="1" x14ac:dyDescent="0.25">
      <c r="D66" s="5" t="s">
        <v>70</v>
      </c>
      <c r="E66" s="6"/>
      <c r="F66" s="13"/>
      <c r="G66" s="3"/>
      <c r="H66" s="3"/>
      <c r="I66" s="182"/>
      <c r="J66" s="182"/>
    </row>
    <row r="67" spans="1:11" ht="75" hidden="1" customHeight="1" x14ac:dyDescent="0.25">
      <c r="D67" s="167" t="s">
        <v>233</v>
      </c>
      <c r="E67" s="161" t="s">
        <v>206</v>
      </c>
      <c r="F67" s="161" t="s">
        <v>234</v>
      </c>
      <c r="G67" s="161" t="s">
        <v>235</v>
      </c>
      <c r="H67" s="161" t="s">
        <v>236</v>
      </c>
      <c r="I67" s="161" t="s">
        <v>237</v>
      </c>
      <c r="J67" s="161" t="s">
        <v>238</v>
      </c>
      <c r="K67" s="161" t="s">
        <v>239</v>
      </c>
    </row>
    <row r="68" spans="1:11" ht="15" hidden="1" customHeight="1" x14ac:dyDescent="0.25">
      <c r="D68" s="162" t="s">
        <v>147</v>
      </c>
      <c r="E68" s="157"/>
      <c r="F68" s="157"/>
      <c r="G68" s="157"/>
      <c r="H68" s="157"/>
      <c r="I68" s="157"/>
      <c r="J68" s="157"/>
      <c r="K68" s="169">
        <v>0</v>
      </c>
    </row>
    <row r="69" spans="1:11" ht="15" hidden="1" customHeight="1" x14ac:dyDescent="0.25">
      <c r="D69" s="162" t="s">
        <v>217</v>
      </c>
      <c r="E69" s="162">
        <v>50</v>
      </c>
      <c r="F69" s="162">
        <v>50</v>
      </c>
      <c r="G69" s="157"/>
      <c r="H69" s="157"/>
      <c r="I69" s="157"/>
      <c r="J69" s="157"/>
      <c r="K69" s="169">
        <f>SUM(E69:F69)</f>
        <v>100</v>
      </c>
    </row>
    <row r="70" spans="1:11" ht="15" hidden="1" customHeight="1" x14ac:dyDescent="0.25">
      <c r="D70" s="162" t="s">
        <v>149</v>
      </c>
      <c r="E70" s="157"/>
      <c r="F70" s="157"/>
      <c r="G70" s="157"/>
      <c r="H70" s="157"/>
      <c r="I70" s="157"/>
      <c r="J70" s="157"/>
      <c r="K70" s="169">
        <v>0</v>
      </c>
    </row>
    <row r="71" spans="1:11" ht="15" hidden="1" customHeight="1" x14ac:dyDescent="0.25">
      <c r="D71" s="162" t="s">
        <v>150</v>
      </c>
      <c r="E71" s="157"/>
      <c r="F71" s="157"/>
      <c r="G71" s="157"/>
      <c r="H71" s="157"/>
      <c r="I71" s="157"/>
      <c r="J71" s="157"/>
      <c r="K71" s="169">
        <v>0</v>
      </c>
    </row>
    <row r="72" spans="1:11" ht="15" hidden="1" customHeight="1" x14ac:dyDescent="0.25">
      <c r="D72" s="162" t="s">
        <v>218</v>
      </c>
      <c r="E72" s="157"/>
      <c r="F72" s="157"/>
      <c r="G72" s="157"/>
      <c r="H72" s="157"/>
      <c r="I72" s="157"/>
      <c r="J72" s="157"/>
      <c r="K72" s="169">
        <v>0</v>
      </c>
    </row>
    <row r="73" spans="1:11" ht="15" hidden="1" customHeight="1" x14ac:dyDescent="0.25">
      <c r="D73" s="162" t="s">
        <v>219</v>
      </c>
      <c r="E73" s="157"/>
      <c r="F73" s="157"/>
      <c r="G73" s="162">
        <v>50</v>
      </c>
      <c r="H73" s="162">
        <v>40</v>
      </c>
      <c r="I73" s="162">
        <v>0</v>
      </c>
      <c r="J73" s="162">
        <v>10</v>
      </c>
      <c r="K73" s="169">
        <f>SUM(G73:J73)</f>
        <v>100</v>
      </c>
    </row>
    <row r="74" spans="1:11" ht="15" hidden="1" customHeight="1" x14ac:dyDescent="0.25">
      <c r="D74" s="6"/>
      <c r="E74" s="6"/>
      <c r="F74" s="13"/>
      <c r="G74" s="3"/>
      <c r="H74" s="3"/>
      <c r="I74" s="182"/>
      <c r="J74" s="182"/>
    </row>
    <row r="75" spans="1:11" s="43" customFormat="1" ht="15" hidden="1" customHeight="1" x14ac:dyDescent="0.25">
      <c r="A75" s="47" t="s">
        <v>127</v>
      </c>
      <c r="B75" s="47"/>
      <c r="C75" s="43" t="s">
        <v>246</v>
      </c>
      <c r="D75" s="178"/>
      <c r="E75" s="178"/>
      <c r="F75" s="179"/>
      <c r="G75" s="180"/>
      <c r="H75" s="180"/>
      <c r="I75" s="181"/>
      <c r="J75" s="181"/>
    </row>
    <row r="76" spans="1:11" s="177" customFormat="1" x14ac:dyDescent="0.25">
      <c r="A76" s="82"/>
      <c r="B76" s="82"/>
      <c r="D76" s="244"/>
      <c r="E76" s="244"/>
      <c r="F76" s="245"/>
      <c r="G76" s="246"/>
      <c r="H76" s="246"/>
      <c r="I76" s="247"/>
      <c r="J76" s="247"/>
    </row>
    <row r="77" spans="1:11" s="172" customFormat="1" ht="15.75" hidden="1" customHeight="1" thickBot="1" x14ac:dyDescent="0.3">
      <c r="A77" s="249" t="s">
        <v>127</v>
      </c>
      <c r="B77" s="249"/>
      <c r="C77" s="249" t="s">
        <v>244</v>
      </c>
      <c r="D77" s="250"/>
      <c r="E77" s="250"/>
      <c r="F77" s="250"/>
      <c r="G77" s="250"/>
      <c r="H77" s="250"/>
      <c r="I77" s="250"/>
      <c r="J77" s="251"/>
    </row>
    <row r="78" spans="1:11" ht="15" hidden="1" customHeight="1" x14ac:dyDescent="0.25">
      <c r="A78" s="13"/>
      <c r="B78" s="13"/>
      <c r="C78" s="13"/>
      <c r="D78" s="13"/>
      <c r="E78" s="13"/>
      <c r="F78" s="13"/>
      <c r="G78" s="13"/>
      <c r="H78" s="13"/>
      <c r="I78" s="13"/>
      <c r="J78" s="89"/>
    </row>
    <row r="79" spans="1:11" ht="15" hidden="1" customHeight="1" x14ac:dyDescent="0.25">
      <c r="A79" s="83">
        <v>1</v>
      </c>
      <c r="B79" s="83"/>
      <c r="C79" s="446" t="s">
        <v>164</v>
      </c>
      <c r="D79" s="446"/>
      <c r="E79" s="446"/>
      <c r="F79" s="446"/>
      <c r="J79" s="89"/>
    </row>
    <row r="80" spans="1:11" ht="15" hidden="1" customHeight="1" x14ac:dyDescent="0.25">
      <c r="A80" s="544" t="s">
        <v>163</v>
      </c>
      <c r="B80" s="383"/>
      <c r="C80" s="450"/>
      <c r="D80" s="72" t="s">
        <v>147</v>
      </c>
      <c r="E80" s="72" t="s">
        <v>148</v>
      </c>
      <c r="F80" s="72" t="s">
        <v>149</v>
      </c>
      <c r="G80" s="72" t="s">
        <v>150</v>
      </c>
      <c r="H80" s="72" t="s">
        <v>151</v>
      </c>
      <c r="I80" s="72" t="s">
        <v>152</v>
      </c>
      <c r="J80" s="89"/>
    </row>
    <row r="81" spans="1:10" ht="15" hidden="1" customHeight="1" x14ac:dyDescent="0.25">
      <c r="A81" s="545"/>
      <c r="B81" s="384"/>
      <c r="C81" s="451"/>
      <c r="D81" s="2" t="s">
        <v>175</v>
      </c>
      <c r="E81" s="2"/>
      <c r="F81" s="2"/>
      <c r="G81" s="2"/>
      <c r="H81" s="2"/>
      <c r="I81" s="2"/>
      <c r="J81" s="89"/>
    </row>
    <row r="82" spans="1:10" ht="15" hidden="1" customHeight="1" x14ac:dyDescent="0.25">
      <c r="A82" s="88">
        <v>1</v>
      </c>
      <c r="B82" s="88"/>
      <c r="C82" s="88"/>
      <c r="D82" s="92">
        <f t="shared" ref="D82:I92" si="0">$C170*D170</f>
        <v>89.899999999999991</v>
      </c>
      <c r="E82" s="92">
        <f t="shared" si="0"/>
        <v>655.4</v>
      </c>
      <c r="F82" s="92">
        <f t="shared" si="0"/>
        <v>384.25</v>
      </c>
      <c r="G82" s="92">
        <f t="shared" si="0"/>
        <v>11.6</v>
      </c>
      <c r="H82" s="92">
        <f t="shared" si="0"/>
        <v>20.3</v>
      </c>
      <c r="I82" s="92">
        <f t="shared" si="0"/>
        <v>1.45</v>
      </c>
      <c r="J82" s="89"/>
    </row>
    <row r="83" spans="1:10" ht="15" hidden="1" customHeight="1" x14ac:dyDescent="0.25">
      <c r="A83" s="88">
        <f>A82+1</f>
        <v>2</v>
      </c>
      <c r="B83" s="88"/>
      <c r="C83" s="88"/>
      <c r="D83" s="92">
        <f t="shared" si="0"/>
        <v>108.75</v>
      </c>
      <c r="E83" s="92">
        <f t="shared" si="0"/>
        <v>771.4</v>
      </c>
      <c r="F83" s="92">
        <f t="shared" si="0"/>
        <v>481.4</v>
      </c>
      <c r="G83" s="92">
        <f t="shared" si="0"/>
        <v>8.6999999999999993</v>
      </c>
      <c r="H83" s="92">
        <f t="shared" si="0"/>
        <v>14.5</v>
      </c>
      <c r="I83" s="92">
        <f t="shared" si="0"/>
        <v>11.6</v>
      </c>
      <c r="J83" s="89"/>
    </row>
    <row r="84" spans="1:10" ht="15" hidden="1" customHeight="1" x14ac:dyDescent="0.25">
      <c r="A84" s="88">
        <f t="shared" ref="A84:A92" si="1">A83+1</f>
        <v>3</v>
      </c>
      <c r="B84" s="88"/>
      <c r="C84" s="88"/>
      <c r="D84" s="92">
        <f t="shared" si="0"/>
        <v>41.6</v>
      </c>
      <c r="E84" s="92">
        <f t="shared" si="0"/>
        <v>231.04</v>
      </c>
      <c r="F84" s="92">
        <f t="shared" si="0"/>
        <v>107.52</v>
      </c>
      <c r="G84" s="92">
        <f t="shared" si="0"/>
        <v>1.92</v>
      </c>
      <c r="H84" s="92">
        <f t="shared" si="0"/>
        <v>2.56</v>
      </c>
      <c r="I84" s="92">
        <f t="shared" si="0"/>
        <v>0</v>
      </c>
      <c r="J84" s="89"/>
    </row>
    <row r="85" spans="1:10" ht="15" hidden="1" customHeight="1" x14ac:dyDescent="0.25">
      <c r="A85" s="88">
        <f t="shared" si="1"/>
        <v>4</v>
      </c>
      <c r="B85" s="88"/>
      <c r="C85" s="88"/>
      <c r="D85" s="92">
        <f t="shared" si="0"/>
        <v>8.64</v>
      </c>
      <c r="E85" s="92">
        <f t="shared" si="0"/>
        <v>61.6</v>
      </c>
      <c r="F85" s="92">
        <f t="shared" si="0"/>
        <v>25.44</v>
      </c>
      <c r="G85" s="92">
        <f t="shared" si="0"/>
        <v>0.64</v>
      </c>
      <c r="H85" s="92">
        <f t="shared" si="0"/>
        <v>0.8</v>
      </c>
      <c r="I85" s="92">
        <f t="shared" si="0"/>
        <v>0</v>
      </c>
      <c r="J85" s="89"/>
    </row>
    <row r="86" spans="1:10" ht="15" hidden="1" customHeight="1" x14ac:dyDescent="0.25">
      <c r="A86" s="88">
        <f t="shared" si="1"/>
        <v>5</v>
      </c>
      <c r="B86" s="88"/>
      <c r="C86" s="88"/>
      <c r="D86" s="92">
        <f t="shared" si="0"/>
        <v>87.72</v>
      </c>
      <c r="E86" s="92">
        <f t="shared" si="0"/>
        <v>454.08000000000004</v>
      </c>
      <c r="F86" s="92">
        <f t="shared" si="0"/>
        <v>170.28</v>
      </c>
      <c r="G86" s="92">
        <f t="shared" si="0"/>
        <v>2.58</v>
      </c>
      <c r="H86" s="92">
        <f t="shared" si="0"/>
        <v>12.9</v>
      </c>
      <c r="I86" s="92">
        <f t="shared" si="0"/>
        <v>6.45</v>
      </c>
      <c r="J86" s="89"/>
    </row>
    <row r="87" spans="1:10" ht="15" hidden="1" customHeight="1" x14ac:dyDescent="0.25">
      <c r="A87" s="88">
        <f t="shared" si="1"/>
        <v>6</v>
      </c>
      <c r="B87" s="88"/>
      <c r="C87" s="88"/>
      <c r="D87" s="92">
        <f t="shared" si="0"/>
        <v>34.56</v>
      </c>
      <c r="E87" s="92">
        <f t="shared" si="0"/>
        <v>161.28</v>
      </c>
      <c r="F87" s="92">
        <f t="shared" si="0"/>
        <v>87.04</v>
      </c>
      <c r="G87" s="92">
        <f t="shared" si="0"/>
        <v>0.64</v>
      </c>
      <c r="H87" s="92">
        <f t="shared" si="0"/>
        <v>5.12</v>
      </c>
      <c r="I87" s="92">
        <f t="shared" si="0"/>
        <v>0.64</v>
      </c>
      <c r="J87" s="89"/>
    </row>
    <row r="88" spans="1:10" ht="15" hidden="1" customHeight="1" x14ac:dyDescent="0.25">
      <c r="A88" s="88">
        <f t="shared" si="1"/>
        <v>7</v>
      </c>
      <c r="B88" s="88"/>
      <c r="C88" s="88"/>
      <c r="D88" s="92">
        <f t="shared" si="0"/>
        <v>90.399999999999991</v>
      </c>
      <c r="E88" s="92">
        <f t="shared" si="0"/>
        <v>636.18999999999994</v>
      </c>
      <c r="F88" s="92">
        <f t="shared" si="0"/>
        <v>284.76</v>
      </c>
      <c r="G88" s="92">
        <f t="shared" si="0"/>
        <v>7.9099999999999993</v>
      </c>
      <c r="H88" s="92">
        <f t="shared" si="0"/>
        <v>28.249999999999996</v>
      </c>
      <c r="I88" s="92">
        <f t="shared" si="0"/>
        <v>6.7799999999999994</v>
      </c>
      <c r="J88" s="89"/>
    </row>
    <row r="89" spans="1:10" ht="15" hidden="1" customHeight="1" x14ac:dyDescent="0.25">
      <c r="A89" s="88">
        <f t="shared" si="1"/>
        <v>8</v>
      </c>
      <c r="B89" s="88"/>
      <c r="C89" s="88"/>
      <c r="D89" s="92">
        <f t="shared" si="0"/>
        <v>16.599999999999998</v>
      </c>
      <c r="E89" s="92">
        <f t="shared" si="0"/>
        <v>103.75</v>
      </c>
      <c r="F89" s="92">
        <f t="shared" si="0"/>
        <v>12.45</v>
      </c>
      <c r="G89" s="92">
        <f t="shared" si="0"/>
        <v>0.83</v>
      </c>
      <c r="H89" s="92">
        <f t="shared" si="0"/>
        <v>1.66</v>
      </c>
      <c r="I89" s="92">
        <f t="shared" si="0"/>
        <v>0.83</v>
      </c>
      <c r="J89" s="89"/>
    </row>
    <row r="90" spans="1:10" ht="15" hidden="1" customHeight="1" x14ac:dyDescent="0.25">
      <c r="A90" s="88">
        <f t="shared" si="1"/>
        <v>9</v>
      </c>
      <c r="B90" s="88"/>
      <c r="C90" s="88"/>
      <c r="D90" s="92">
        <f t="shared" si="0"/>
        <v>58.050000000000004</v>
      </c>
      <c r="E90" s="92">
        <f t="shared" si="0"/>
        <v>497.94</v>
      </c>
      <c r="F90" s="92">
        <f t="shared" si="0"/>
        <v>183.18</v>
      </c>
      <c r="G90" s="92">
        <f t="shared" si="0"/>
        <v>10.32</v>
      </c>
      <c r="H90" s="92">
        <f t="shared" si="0"/>
        <v>10.32</v>
      </c>
      <c r="I90" s="92">
        <f t="shared" si="0"/>
        <v>1.29</v>
      </c>
      <c r="J90" s="89"/>
    </row>
    <row r="91" spans="1:10" ht="15" hidden="1" customHeight="1" x14ac:dyDescent="0.25">
      <c r="A91" s="88">
        <f t="shared" si="1"/>
        <v>10</v>
      </c>
      <c r="B91" s="88"/>
      <c r="C91" s="88"/>
      <c r="D91" s="92">
        <f t="shared" si="0"/>
        <v>40.669999999999995</v>
      </c>
      <c r="E91" s="92">
        <f t="shared" si="0"/>
        <v>375.99</v>
      </c>
      <c r="F91" s="92">
        <f t="shared" si="0"/>
        <v>114.53999999999999</v>
      </c>
      <c r="G91" s="92">
        <f t="shared" si="0"/>
        <v>4.9799999999999995</v>
      </c>
      <c r="H91" s="92">
        <f t="shared" si="0"/>
        <v>5.81</v>
      </c>
      <c r="I91" s="92">
        <f t="shared" si="0"/>
        <v>0</v>
      </c>
      <c r="J91" s="89"/>
    </row>
    <row r="92" spans="1:10" ht="15" hidden="1" customHeight="1" x14ac:dyDescent="0.25">
      <c r="A92" s="88">
        <f t="shared" si="1"/>
        <v>11</v>
      </c>
      <c r="B92" s="88"/>
      <c r="C92" s="88"/>
      <c r="D92" s="92">
        <f t="shared" si="0"/>
        <v>75.19</v>
      </c>
      <c r="E92" s="92">
        <f t="shared" si="0"/>
        <v>465.56</v>
      </c>
      <c r="F92" s="92">
        <f t="shared" si="0"/>
        <v>236.9</v>
      </c>
      <c r="G92" s="92">
        <f t="shared" si="0"/>
        <v>7.21</v>
      </c>
      <c r="H92" s="92">
        <f t="shared" si="0"/>
        <v>4.12</v>
      </c>
      <c r="I92" s="92">
        <f t="shared" si="0"/>
        <v>3.09</v>
      </c>
      <c r="J92" s="89"/>
    </row>
    <row r="93" spans="1:10" ht="15" hidden="1" customHeight="1" x14ac:dyDescent="0.25">
      <c r="A93" s="216" t="s">
        <v>263</v>
      </c>
      <c r="B93" s="216"/>
      <c r="C93" s="88"/>
      <c r="D93" s="217"/>
      <c r="E93" s="217"/>
      <c r="F93" s="217"/>
      <c r="G93" s="217"/>
      <c r="H93" s="217"/>
      <c r="I93" s="217"/>
      <c r="J93" s="89"/>
    </row>
    <row r="94" spans="1:10" ht="15" hidden="1" customHeight="1" x14ac:dyDescent="0.25">
      <c r="A94" s="13"/>
      <c r="B94" s="13"/>
      <c r="C94" s="20" t="s">
        <v>3</v>
      </c>
      <c r="D94" s="20">
        <f t="shared" ref="D94:I94" si="2">SUM(D82:D93)</f>
        <v>652.07999999999993</v>
      </c>
      <c r="E94" s="20">
        <f t="shared" si="2"/>
        <v>4414.2300000000005</v>
      </c>
      <c r="F94" s="20">
        <f t="shared" si="2"/>
        <v>2087.7600000000002</v>
      </c>
      <c r="G94" s="20">
        <f t="shared" si="2"/>
        <v>57.329999999999991</v>
      </c>
      <c r="H94" s="20">
        <f t="shared" si="2"/>
        <v>106.34</v>
      </c>
      <c r="I94" s="20">
        <f t="shared" si="2"/>
        <v>32.129999999999995</v>
      </c>
      <c r="J94" s="89"/>
    </row>
    <row r="95" spans="1:10" ht="15" hidden="1" customHeight="1" x14ac:dyDescent="0.25">
      <c r="A95" s="13"/>
      <c r="B95" s="13"/>
      <c r="C95" s="20"/>
      <c r="D95" s="20"/>
      <c r="E95" s="20"/>
      <c r="F95" s="20"/>
      <c r="G95" s="20"/>
      <c r="H95" s="20"/>
      <c r="I95" s="20"/>
      <c r="J95" s="89"/>
    </row>
    <row r="96" spans="1:10" ht="15" hidden="1" customHeight="1" x14ac:dyDescent="0.25">
      <c r="J96" s="77"/>
    </row>
    <row r="97" spans="1:10" ht="15" hidden="1" customHeight="1" x14ac:dyDescent="0.25">
      <c r="A97" s="83">
        <v>2</v>
      </c>
      <c r="B97" s="83"/>
      <c r="C97" s="452" t="s">
        <v>180</v>
      </c>
      <c r="D97" s="452"/>
      <c r="E97" s="452"/>
      <c r="F97" s="452"/>
      <c r="H97" s="447" t="s">
        <v>172</v>
      </c>
      <c r="I97" s="447"/>
      <c r="J97" s="447"/>
    </row>
    <row r="98" spans="1:10" ht="15" hidden="1" customHeight="1" x14ac:dyDescent="0.25">
      <c r="A98" s="97"/>
      <c r="B98" s="97"/>
      <c r="C98" s="97"/>
      <c r="D98" s="72" t="s">
        <v>147</v>
      </c>
      <c r="E98" s="72" t="s">
        <v>148</v>
      </c>
      <c r="F98" s="72" t="s">
        <v>149</v>
      </c>
      <c r="G98" s="72" t="s">
        <v>150</v>
      </c>
      <c r="H98" s="72" t="s">
        <v>151</v>
      </c>
      <c r="I98" s="72" t="s">
        <v>152</v>
      </c>
      <c r="J98" s="183"/>
    </row>
    <row r="99" spans="1:10" ht="15" hidden="1" customHeight="1" x14ac:dyDescent="0.25">
      <c r="A99" t="s">
        <v>73</v>
      </c>
      <c r="C99" s="2" t="s">
        <v>165</v>
      </c>
      <c r="D99" s="75">
        <f>D94*$E42/100</f>
        <v>652.07999999999993</v>
      </c>
      <c r="E99" s="75">
        <f>E94*$E43/100</f>
        <v>4193.5185000000001</v>
      </c>
      <c r="F99" s="75">
        <f>F94*$E44/100</f>
        <v>1878.9840000000002</v>
      </c>
      <c r="G99" s="233"/>
      <c r="H99" s="75">
        <f>H94*$E46/100</f>
        <v>10.634</v>
      </c>
      <c r="I99" s="233"/>
      <c r="J99" s="77"/>
    </row>
    <row r="100" spans="1:10" ht="15" hidden="1" customHeight="1" x14ac:dyDescent="0.25">
      <c r="C100" s="2" t="s">
        <v>69</v>
      </c>
      <c r="D100" s="233"/>
      <c r="E100" s="233"/>
      <c r="F100" s="75">
        <f>F94*$F44/100</f>
        <v>208.77600000000001</v>
      </c>
      <c r="G100" s="75">
        <f>G94*$F45/100</f>
        <v>57.329999999999991</v>
      </c>
      <c r="H100" s="75">
        <f>H94*$F46/100</f>
        <v>95.706000000000003</v>
      </c>
      <c r="I100" s="75">
        <f>I94*$F47/100</f>
        <v>28.916999999999998</v>
      </c>
      <c r="J100" s="77"/>
    </row>
    <row r="101" spans="1:10" ht="15" hidden="1" customHeight="1" x14ac:dyDescent="0.25">
      <c r="C101" s="2" t="s">
        <v>70</v>
      </c>
      <c r="D101" s="233"/>
      <c r="E101" s="75">
        <f>E94*$G43/100</f>
        <v>220.7115</v>
      </c>
      <c r="F101" s="233"/>
      <c r="G101" s="233"/>
      <c r="H101" s="233"/>
      <c r="I101" s="75">
        <f>I94*$G47/100</f>
        <v>3.2129999999999996</v>
      </c>
      <c r="J101" s="77"/>
    </row>
    <row r="102" spans="1:10" ht="15" hidden="1" customHeight="1" x14ac:dyDescent="0.25">
      <c r="C102" s="16" t="s">
        <v>177</v>
      </c>
      <c r="D102" s="234">
        <f t="shared" ref="D102:I102" si="3">SUM(D99:D101)</f>
        <v>652.07999999999993</v>
      </c>
      <c r="E102" s="234">
        <f t="shared" si="3"/>
        <v>4414.2300000000005</v>
      </c>
      <c r="F102" s="234">
        <f t="shared" si="3"/>
        <v>2087.7600000000002</v>
      </c>
      <c r="G102" s="234">
        <f t="shared" si="3"/>
        <v>57.329999999999991</v>
      </c>
      <c r="H102" s="234">
        <f t="shared" si="3"/>
        <v>106.34</v>
      </c>
      <c r="I102" s="234">
        <f t="shared" si="3"/>
        <v>32.129999999999995</v>
      </c>
      <c r="J102" s="77"/>
    </row>
    <row r="103" spans="1:10" ht="15" hidden="1" customHeight="1" x14ac:dyDescent="0.25">
      <c r="J103" s="77"/>
    </row>
    <row r="104" spans="1:10" ht="48.75" hidden="1" customHeight="1" x14ac:dyDescent="0.25">
      <c r="A104" s="83">
        <v>3</v>
      </c>
      <c r="B104" s="83"/>
      <c r="C104" s="446" t="s">
        <v>179</v>
      </c>
      <c r="D104" s="446"/>
      <c r="E104" s="446"/>
      <c r="F104" s="446"/>
      <c r="H104" s="447" t="s">
        <v>172</v>
      </c>
      <c r="I104" s="447"/>
      <c r="J104" s="447"/>
    </row>
    <row r="105" spans="1:10" ht="15" hidden="1" customHeight="1" x14ac:dyDescent="0.25">
      <c r="A105" s="97"/>
      <c r="B105" s="97"/>
      <c r="C105" s="184"/>
      <c r="D105" s="72" t="s">
        <v>147</v>
      </c>
      <c r="E105" s="72" t="s">
        <v>148</v>
      </c>
      <c r="F105" s="72" t="s">
        <v>149</v>
      </c>
      <c r="G105" s="72" t="s">
        <v>150</v>
      </c>
      <c r="H105" s="72" t="s">
        <v>151</v>
      </c>
      <c r="I105" s="72" t="s">
        <v>152</v>
      </c>
      <c r="J105" s="183"/>
    </row>
    <row r="106" spans="1:10" ht="30.75" hidden="1" customHeight="1" x14ac:dyDescent="0.25">
      <c r="A106" s="97"/>
      <c r="B106" s="97"/>
      <c r="C106" s="184"/>
      <c r="D106" s="201"/>
      <c r="E106" s="202" t="s">
        <v>206</v>
      </c>
      <c r="F106" s="72"/>
      <c r="G106" s="200"/>
      <c r="H106" s="72"/>
      <c r="I106" s="200"/>
      <c r="J106" s="183"/>
    </row>
    <row r="107" spans="1:10" ht="15" hidden="1" customHeight="1" x14ac:dyDescent="0.25">
      <c r="A107" s="97"/>
      <c r="B107" s="97"/>
      <c r="C107" s="184"/>
      <c r="D107" s="201"/>
      <c r="E107" s="232">
        <f>E99*$E52/100</f>
        <v>209.67592499999998</v>
      </c>
      <c r="F107" s="72"/>
      <c r="G107" s="200"/>
      <c r="H107" s="72"/>
      <c r="I107" s="200"/>
      <c r="J107" s="183"/>
    </row>
    <row r="108" spans="1:10" ht="46.5" hidden="1" customHeight="1" x14ac:dyDescent="0.25">
      <c r="A108" s="97"/>
      <c r="B108" s="97"/>
      <c r="C108" s="184"/>
      <c r="D108" s="201"/>
      <c r="E108" s="202" t="s">
        <v>223</v>
      </c>
      <c r="F108" s="72"/>
      <c r="G108" s="200"/>
      <c r="H108" s="72"/>
      <c r="I108" s="200"/>
      <c r="J108" s="183"/>
    </row>
    <row r="109" spans="1:10" ht="15" hidden="1" customHeight="1" x14ac:dyDescent="0.25">
      <c r="A109" s="97"/>
      <c r="B109" s="97"/>
      <c r="C109" s="184"/>
      <c r="D109" s="201"/>
      <c r="E109" s="232">
        <f>E99*$G52/100</f>
        <v>209.67592499999998</v>
      </c>
      <c r="F109" s="72"/>
      <c r="G109" s="200"/>
      <c r="H109" s="72"/>
      <c r="I109" s="200"/>
      <c r="J109" s="183"/>
    </row>
    <row r="110" spans="1:10" ht="36.75" hidden="1" customHeight="1" x14ac:dyDescent="0.25">
      <c r="A110" s="97"/>
      <c r="B110" s="97"/>
      <c r="C110" s="184"/>
      <c r="D110" s="202" t="s">
        <v>227</v>
      </c>
      <c r="E110" s="202" t="s">
        <v>224</v>
      </c>
      <c r="F110" s="72"/>
      <c r="G110" s="200"/>
      <c r="H110" s="72"/>
      <c r="I110" s="200"/>
      <c r="J110" s="183"/>
    </row>
    <row r="111" spans="1:10" ht="21" hidden="1" customHeight="1" x14ac:dyDescent="0.25">
      <c r="A111" s="97"/>
      <c r="B111" s="97"/>
      <c r="C111" s="184"/>
      <c r="D111" s="231">
        <f>D99*$K51/100</f>
        <v>32.603999999999999</v>
      </c>
      <c r="E111" s="232">
        <f>E99*$H52/100</f>
        <v>419.35184999999996</v>
      </c>
      <c r="F111" s="72"/>
      <c r="G111" s="200"/>
      <c r="H111" s="72"/>
      <c r="I111" s="200"/>
      <c r="J111" s="183"/>
    </row>
    <row r="112" spans="1:10" ht="51" hidden="1" customHeight="1" x14ac:dyDescent="0.25">
      <c r="A112" t="s">
        <v>178</v>
      </c>
      <c r="C112" t="s">
        <v>166</v>
      </c>
      <c r="D112" s="84" t="s">
        <v>167</v>
      </c>
      <c r="E112" s="85" t="s">
        <v>169</v>
      </c>
      <c r="F112" s="86" t="s">
        <v>171</v>
      </c>
      <c r="G112" s="94"/>
      <c r="H112" s="86" t="s">
        <v>171</v>
      </c>
      <c r="I112" s="94"/>
      <c r="J112" s="77"/>
    </row>
    <row r="113" spans="1:10" ht="15" hidden="1" customHeight="1" x14ac:dyDescent="0.25">
      <c r="D113" s="225">
        <f>D99*$L51/100</f>
        <v>130.416</v>
      </c>
      <c r="E113" s="228">
        <f>E99*$I52/100</f>
        <v>1258.05555</v>
      </c>
      <c r="F113" s="229">
        <f>F99*F53/100</f>
        <v>1878.9840000000002</v>
      </c>
      <c r="G113" s="230"/>
      <c r="H113" s="229">
        <f>H99*F55/100</f>
        <v>10.634</v>
      </c>
      <c r="I113" s="94"/>
      <c r="J113" s="77"/>
    </row>
    <row r="114" spans="1:10" ht="51" hidden="1" customHeight="1" x14ac:dyDescent="0.25">
      <c r="D114" s="84" t="s">
        <v>168</v>
      </c>
      <c r="E114" s="85" t="s">
        <v>170</v>
      </c>
      <c r="F114" s="94"/>
      <c r="G114" s="94"/>
      <c r="H114" s="94"/>
      <c r="I114" s="94"/>
      <c r="J114" s="77"/>
    </row>
    <row r="115" spans="1:10" ht="15" hidden="1" customHeight="1" x14ac:dyDescent="0.25">
      <c r="D115" s="225">
        <f>D99*$M51/100</f>
        <v>489.05999999999995</v>
      </c>
      <c r="E115" s="226">
        <f>E99*$J52/100</f>
        <v>2096.7592500000001</v>
      </c>
      <c r="F115" s="94"/>
      <c r="G115" s="94"/>
      <c r="H115" s="94"/>
      <c r="I115" s="94"/>
      <c r="J115" s="77"/>
    </row>
    <row r="116" spans="1:10" s="1" customFormat="1" ht="15" hidden="1" customHeight="1" x14ac:dyDescent="0.25">
      <c r="A116" s="219" t="s">
        <v>264</v>
      </c>
      <c r="B116" s="219"/>
      <c r="C116" s="219"/>
      <c r="D116" s="227">
        <f t="shared" ref="D116:I116" si="4">D107+D109+D111+D113+D115</f>
        <v>652.07999999999993</v>
      </c>
      <c r="E116" s="227">
        <f t="shared" si="4"/>
        <v>4193.5185000000001</v>
      </c>
      <c r="F116" s="227">
        <f t="shared" si="4"/>
        <v>1878.9840000000002</v>
      </c>
      <c r="G116" s="227">
        <f t="shared" si="4"/>
        <v>0</v>
      </c>
      <c r="H116" s="227">
        <f t="shared" si="4"/>
        <v>10.634</v>
      </c>
      <c r="I116" s="227">
        <f t="shared" si="4"/>
        <v>0</v>
      </c>
      <c r="J116" s="218"/>
    </row>
    <row r="117" spans="1:10" ht="26.25" hidden="1" customHeight="1" x14ac:dyDescent="0.25">
      <c r="C117" t="s">
        <v>69</v>
      </c>
      <c r="D117" s="94"/>
      <c r="E117" s="94"/>
      <c r="F117" s="87" t="s">
        <v>171</v>
      </c>
      <c r="G117" s="87" t="s">
        <v>171</v>
      </c>
      <c r="H117" s="87" t="s">
        <v>171</v>
      </c>
      <c r="I117" s="87" t="s">
        <v>171</v>
      </c>
      <c r="J117" s="77"/>
    </row>
    <row r="118" spans="1:10" ht="15" hidden="1" customHeight="1" x14ac:dyDescent="0.25">
      <c r="D118" s="94"/>
      <c r="E118" s="94"/>
      <c r="F118" s="223">
        <f>F100*$E61/100</f>
        <v>208.77600000000001</v>
      </c>
      <c r="G118" s="223">
        <f>G100*$E62/100</f>
        <v>57.329999999999991</v>
      </c>
      <c r="H118" s="223">
        <f>H100*$E63/100</f>
        <v>95.706000000000003</v>
      </c>
      <c r="I118" s="223">
        <f>I100*$E64/100</f>
        <v>28.916999999999998</v>
      </c>
      <c r="J118" s="77"/>
    </row>
    <row r="119" spans="1:10" ht="15" hidden="1" customHeight="1" x14ac:dyDescent="0.25">
      <c r="A119" s="219" t="s">
        <v>265</v>
      </c>
      <c r="B119" s="219"/>
      <c r="C119" s="219"/>
      <c r="D119" s="220"/>
      <c r="E119" s="220"/>
      <c r="F119" s="222">
        <f>F118</f>
        <v>208.77600000000001</v>
      </c>
      <c r="G119" s="222">
        <f>G118</f>
        <v>57.329999999999991</v>
      </c>
      <c r="H119" s="222">
        <f>H118</f>
        <v>95.706000000000003</v>
      </c>
      <c r="I119" s="222">
        <f>I118</f>
        <v>28.916999999999998</v>
      </c>
      <c r="J119" s="77"/>
    </row>
    <row r="120" spans="1:10" ht="26.25" hidden="1" customHeight="1" x14ac:dyDescent="0.25">
      <c r="C120" t="s">
        <v>70</v>
      </c>
      <c r="D120" s="112"/>
      <c r="E120" s="87" t="s">
        <v>206</v>
      </c>
      <c r="F120" s="112"/>
      <c r="G120" s="112"/>
      <c r="H120" s="112"/>
      <c r="I120" s="112"/>
      <c r="J120" s="77"/>
    </row>
    <row r="121" spans="1:10" ht="15" hidden="1" customHeight="1" x14ac:dyDescent="0.25">
      <c r="D121" s="112"/>
      <c r="E121" s="223">
        <f>E101*$E69/100</f>
        <v>110.35575</v>
      </c>
      <c r="F121" s="112"/>
      <c r="G121" s="112"/>
      <c r="H121" s="112"/>
      <c r="I121" s="112"/>
      <c r="J121" s="77"/>
    </row>
    <row r="122" spans="1:10" ht="26.25" hidden="1" customHeight="1" x14ac:dyDescent="0.25">
      <c r="D122" s="112"/>
      <c r="E122" s="87" t="s">
        <v>207</v>
      </c>
      <c r="F122" s="112"/>
      <c r="G122" s="112"/>
      <c r="H122" s="112"/>
      <c r="I122" s="112"/>
      <c r="J122" s="77"/>
    </row>
    <row r="123" spans="1:10" ht="15" hidden="1" customHeight="1" x14ac:dyDescent="0.25">
      <c r="D123" s="112"/>
      <c r="E123" s="224">
        <f>E101*$F69/100</f>
        <v>110.35575</v>
      </c>
      <c r="F123" s="112"/>
      <c r="G123" s="112"/>
      <c r="H123" s="112"/>
      <c r="I123" s="112"/>
      <c r="J123" s="77"/>
    </row>
    <row r="124" spans="1:10" ht="51.75" hidden="1" customHeight="1" x14ac:dyDescent="0.25">
      <c r="D124" s="112"/>
      <c r="E124" s="209"/>
      <c r="F124" s="112"/>
      <c r="G124" s="112"/>
      <c r="H124" s="112"/>
      <c r="I124" s="87" t="s">
        <v>235</v>
      </c>
      <c r="J124" s="77"/>
    </row>
    <row r="125" spans="1:10" ht="15" hidden="1" customHeight="1" x14ac:dyDescent="0.25">
      <c r="D125" s="112"/>
      <c r="E125" s="209"/>
      <c r="F125" s="112"/>
      <c r="G125" s="112"/>
      <c r="H125" s="112"/>
      <c r="I125" s="223">
        <f>I101*$G73/100</f>
        <v>1.6064999999999998</v>
      </c>
      <c r="J125" s="77"/>
    </row>
    <row r="126" spans="1:10" ht="51.75" hidden="1" customHeight="1" x14ac:dyDescent="0.25">
      <c r="D126" s="112"/>
      <c r="E126" s="209"/>
      <c r="F126" s="112"/>
      <c r="G126" s="112"/>
      <c r="H126" s="112"/>
      <c r="I126" s="87" t="s">
        <v>236</v>
      </c>
      <c r="J126" s="77"/>
    </row>
    <row r="127" spans="1:10" ht="15" hidden="1" customHeight="1" x14ac:dyDescent="0.25">
      <c r="D127" s="112"/>
      <c r="E127" s="209"/>
      <c r="F127" s="112"/>
      <c r="G127" s="112"/>
      <c r="H127" s="112"/>
      <c r="I127" s="223">
        <f>I101*$H73/100</f>
        <v>1.2851999999999999</v>
      </c>
      <c r="J127" s="77"/>
    </row>
    <row r="128" spans="1:10" ht="51.75" hidden="1" customHeight="1" x14ac:dyDescent="0.25">
      <c r="D128" s="112"/>
      <c r="E128" s="209"/>
      <c r="F128" s="112"/>
      <c r="G128" s="112"/>
      <c r="H128" s="112"/>
      <c r="I128" s="87" t="s">
        <v>237</v>
      </c>
      <c r="J128" s="77"/>
    </row>
    <row r="129" spans="1:10" ht="15" hidden="1" customHeight="1" x14ac:dyDescent="0.25">
      <c r="D129" s="112"/>
      <c r="E129" s="209"/>
      <c r="F129" s="112"/>
      <c r="G129" s="112"/>
      <c r="H129" s="112"/>
      <c r="I129" s="223">
        <f>I101*$I73/100</f>
        <v>0</v>
      </c>
      <c r="J129" s="77"/>
    </row>
    <row r="130" spans="1:10" ht="51.75" hidden="1" customHeight="1" x14ac:dyDescent="0.25">
      <c r="D130" s="112"/>
      <c r="E130" s="209"/>
      <c r="F130" s="112"/>
      <c r="G130" s="112"/>
      <c r="H130" s="112"/>
      <c r="I130" s="87" t="s">
        <v>238</v>
      </c>
      <c r="J130" s="77"/>
    </row>
    <row r="131" spans="1:10" ht="15" hidden="1" customHeight="1" x14ac:dyDescent="0.25">
      <c r="D131" s="112"/>
      <c r="E131" s="209"/>
      <c r="F131" s="112"/>
      <c r="G131" s="112"/>
      <c r="H131" s="112"/>
      <c r="I131" s="223">
        <f>I101*$J73/100</f>
        <v>0.32129999999999997</v>
      </c>
      <c r="J131" s="77"/>
    </row>
    <row r="132" spans="1:10" s="1" customFormat="1" ht="15" hidden="1" customHeight="1" x14ac:dyDescent="0.25">
      <c r="A132" s="219" t="s">
        <v>266</v>
      </c>
      <c r="B132" s="219"/>
      <c r="C132" s="219"/>
      <c r="D132" s="222"/>
      <c r="E132" s="221">
        <f>E121+E123</f>
        <v>220.7115</v>
      </c>
      <c r="F132" s="222">
        <f>F131</f>
        <v>0</v>
      </c>
      <c r="G132" s="222">
        <f>G131</f>
        <v>0</v>
      </c>
      <c r="H132" s="222">
        <f>H131</f>
        <v>0</v>
      </c>
      <c r="I132" s="222">
        <f>I125+I127+I129+I131</f>
        <v>3.2129999999999996</v>
      </c>
      <c r="J132" s="218"/>
    </row>
    <row r="133" spans="1:10" ht="34.5" hidden="1" customHeight="1" x14ac:dyDescent="0.25">
      <c r="A133" s="83">
        <v>4</v>
      </c>
      <c r="B133" s="83"/>
      <c r="C133" s="446" t="s">
        <v>181</v>
      </c>
      <c r="D133" s="446"/>
      <c r="E133" s="446"/>
      <c r="F133" s="446"/>
      <c r="J133" s="77"/>
    </row>
    <row r="134" spans="1:10" ht="15" hidden="1" customHeight="1" x14ac:dyDescent="0.25">
      <c r="A134" s="83"/>
      <c r="B134" s="83"/>
      <c r="C134" s="184"/>
      <c r="D134" s="72" t="s">
        <v>147</v>
      </c>
      <c r="E134" s="72" t="s">
        <v>148</v>
      </c>
      <c r="F134" s="72" t="s">
        <v>149</v>
      </c>
      <c r="G134" s="72" t="s">
        <v>150</v>
      </c>
      <c r="H134" s="72" t="s">
        <v>151</v>
      </c>
      <c r="I134" s="72" t="s">
        <v>152</v>
      </c>
      <c r="J134" s="77"/>
    </row>
    <row r="135" spans="1:10" ht="25.5" hidden="1" customHeight="1" x14ac:dyDescent="0.25">
      <c r="A135" s="97"/>
      <c r="B135" s="97"/>
      <c r="C135" s="184"/>
      <c r="D135" s="201"/>
      <c r="E135" s="202" t="s">
        <v>206</v>
      </c>
      <c r="F135" s="201"/>
      <c r="G135" s="203"/>
      <c r="H135" s="201"/>
      <c r="I135" s="203"/>
      <c r="J135" s="77"/>
    </row>
    <row r="136" spans="1:10" ht="15" hidden="1" customHeight="1" x14ac:dyDescent="0.25">
      <c r="A136" s="97"/>
      <c r="B136" s="97"/>
      <c r="C136" s="184"/>
      <c r="D136" s="201"/>
      <c r="E136" s="232">
        <f>E107*$F$21</f>
        <v>57241.52752499999</v>
      </c>
      <c r="F136" s="201"/>
      <c r="G136" s="203"/>
      <c r="H136" s="201"/>
      <c r="I136" s="203"/>
      <c r="J136" s="77"/>
    </row>
    <row r="137" spans="1:10" ht="38.25" hidden="1" customHeight="1" x14ac:dyDescent="0.25">
      <c r="A137" s="97"/>
      <c r="B137" s="97"/>
      <c r="C137" s="184"/>
      <c r="D137" s="201"/>
      <c r="E137" s="202" t="s">
        <v>223</v>
      </c>
      <c r="F137" s="201"/>
      <c r="G137" s="203"/>
      <c r="H137" s="201"/>
      <c r="I137" s="203"/>
      <c r="J137" s="77"/>
    </row>
    <row r="138" spans="1:10" ht="15" hidden="1" customHeight="1" x14ac:dyDescent="0.25">
      <c r="A138" s="97"/>
      <c r="B138" s="97"/>
      <c r="C138" s="184"/>
      <c r="D138" s="201"/>
      <c r="E138" s="232">
        <f>E109*$F$22</f>
        <v>47806.110899999992</v>
      </c>
      <c r="F138" s="201"/>
      <c r="G138" s="203"/>
      <c r="H138" s="201"/>
      <c r="I138" s="203"/>
      <c r="J138" s="77"/>
    </row>
    <row r="139" spans="1:10" ht="38.25" hidden="1" customHeight="1" x14ac:dyDescent="0.25">
      <c r="A139" s="97"/>
      <c r="B139" s="97"/>
      <c r="C139" s="184"/>
      <c r="D139" s="202" t="s">
        <v>227</v>
      </c>
      <c r="E139" s="202" t="s">
        <v>224</v>
      </c>
      <c r="F139" s="201"/>
      <c r="G139" s="203"/>
      <c r="H139" s="201"/>
      <c r="I139" s="203"/>
      <c r="J139" s="77"/>
    </row>
    <row r="140" spans="1:10" ht="15" hidden="1" customHeight="1" x14ac:dyDescent="0.25">
      <c r="A140" s="97"/>
      <c r="B140" s="97"/>
      <c r="C140" s="184"/>
      <c r="D140" s="232">
        <f>D111*$F$18</f>
        <v>1936.6776</v>
      </c>
      <c r="E140" s="232">
        <f>E111*$F$23</f>
        <v>85128.425549999985</v>
      </c>
      <c r="F140" s="201"/>
      <c r="G140" s="203"/>
      <c r="H140" s="201"/>
      <c r="I140" s="203"/>
      <c r="J140" s="77"/>
    </row>
    <row r="141" spans="1:10" ht="51" hidden="1" customHeight="1" x14ac:dyDescent="0.25">
      <c r="A141" t="s">
        <v>178</v>
      </c>
      <c r="C141" t="s">
        <v>166</v>
      </c>
      <c r="D141" s="84" t="s">
        <v>167</v>
      </c>
      <c r="E141" s="85" t="s">
        <v>169</v>
      </c>
      <c r="F141" s="86" t="s">
        <v>171</v>
      </c>
      <c r="G141" s="94"/>
      <c r="H141" s="86" t="s">
        <v>171</v>
      </c>
      <c r="I141" s="94"/>
      <c r="J141" s="77"/>
    </row>
    <row r="142" spans="1:10" ht="15" hidden="1" customHeight="1" x14ac:dyDescent="0.25">
      <c r="D142" s="225">
        <f>D113*$F$19</f>
        <v>12885.1008</v>
      </c>
      <c r="E142" s="240">
        <f>E113*$F$24</f>
        <v>242804.72115</v>
      </c>
      <c r="F142" s="241">
        <f>F113*$F$28</f>
        <v>618185.73600000003</v>
      </c>
      <c r="G142" s="94"/>
      <c r="H142" s="229">
        <f>H113*$F$31</f>
        <v>3498.5860000000002</v>
      </c>
      <c r="I142" s="94"/>
      <c r="J142" s="77"/>
    </row>
    <row r="143" spans="1:10" ht="51" hidden="1" customHeight="1" x14ac:dyDescent="0.25">
      <c r="D143" s="84" t="s">
        <v>168</v>
      </c>
      <c r="E143" s="85" t="s">
        <v>170</v>
      </c>
      <c r="F143" s="94"/>
      <c r="G143" s="94"/>
      <c r="H143" s="94"/>
      <c r="I143" s="94"/>
      <c r="J143" s="77"/>
    </row>
    <row r="144" spans="1:10" ht="15.75" hidden="1" customHeight="1" thickBot="1" x14ac:dyDescent="0.3">
      <c r="D144" s="235">
        <f>D115*$F$20</f>
        <v>61132.499999999993</v>
      </c>
      <c r="E144" s="242">
        <f>E115*$F$25</f>
        <v>463383.79425000004</v>
      </c>
      <c r="F144" s="94"/>
      <c r="G144" s="94"/>
      <c r="H144" s="94"/>
      <c r="I144" s="94"/>
      <c r="J144" s="77"/>
    </row>
    <row r="145" spans="3:10" ht="39.75" hidden="1" customHeight="1" thickBot="1" x14ac:dyDescent="0.3">
      <c r="C145" s="122" t="s">
        <v>197</v>
      </c>
      <c r="D145" s="236">
        <f>D140+D142+D144</f>
        <v>75954.278399999996</v>
      </c>
      <c r="E145" s="237">
        <f>E136+E138+E140+E142+E144</f>
        <v>896364.57937499997</v>
      </c>
      <c r="F145" s="238">
        <f>F142</f>
        <v>618185.73600000003</v>
      </c>
      <c r="G145" s="238"/>
      <c r="H145" s="238">
        <f>H142</f>
        <v>3498.5860000000002</v>
      </c>
      <c r="I145" s="239"/>
      <c r="J145" s="77"/>
    </row>
    <row r="146" spans="3:10" ht="26.25" hidden="1" customHeight="1" x14ac:dyDescent="0.25">
      <c r="C146" t="s">
        <v>69</v>
      </c>
      <c r="D146" s="94"/>
      <c r="E146" s="94"/>
      <c r="F146" s="117" t="s">
        <v>171</v>
      </c>
      <c r="G146" s="117" t="s">
        <v>171</v>
      </c>
      <c r="H146" s="117" t="s">
        <v>171</v>
      </c>
      <c r="I146" s="117" t="s">
        <v>171</v>
      </c>
      <c r="J146" s="77"/>
    </row>
    <row r="147" spans="3:10" ht="15.75" hidden="1" customHeight="1" thickBot="1" x14ac:dyDescent="0.3">
      <c r="D147" s="94"/>
      <c r="E147" s="94"/>
      <c r="F147" s="118">
        <f>F118*$F$29</f>
        <v>59709.936000000002</v>
      </c>
      <c r="G147" s="118">
        <f>G118*$F$30</f>
        <v>44774.729999999996</v>
      </c>
      <c r="H147" s="118">
        <f>H118*$F$32</f>
        <v>27371.916000000001</v>
      </c>
      <c r="I147" s="118">
        <f>I118*$F$33</f>
        <v>22584.177</v>
      </c>
      <c r="J147" s="77"/>
    </row>
    <row r="148" spans="3:10" ht="39.75" hidden="1" customHeight="1" thickBot="1" x14ac:dyDescent="0.3">
      <c r="C148" s="122" t="s">
        <v>198</v>
      </c>
      <c r="D148" s="205"/>
      <c r="E148" s="206"/>
      <c r="F148" s="128">
        <f>F147</f>
        <v>59709.936000000002</v>
      </c>
      <c r="G148" s="128">
        <f>G147</f>
        <v>44774.729999999996</v>
      </c>
      <c r="H148" s="128">
        <f>H147</f>
        <v>27371.916000000001</v>
      </c>
      <c r="I148" s="129">
        <f>I147</f>
        <v>22584.177</v>
      </c>
      <c r="J148" s="77"/>
    </row>
    <row r="149" spans="3:10" ht="26.25" hidden="1" customHeight="1" x14ac:dyDescent="0.25">
      <c r="C149" t="s">
        <v>70</v>
      </c>
      <c r="D149" s="112"/>
      <c r="E149" s="117" t="s">
        <v>206</v>
      </c>
      <c r="F149" s="112"/>
      <c r="G149" s="112"/>
      <c r="H149" s="112"/>
      <c r="I149" s="112"/>
      <c r="J149" s="77"/>
    </row>
    <row r="150" spans="3:10" ht="15" hidden="1" customHeight="1" x14ac:dyDescent="0.25">
      <c r="D150" s="112"/>
      <c r="E150" s="114">
        <f>E121*$F$26</f>
        <v>41824.829250000003</v>
      </c>
      <c r="F150" s="112"/>
      <c r="G150" s="112"/>
      <c r="H150" s="112"/>
      <c r="I150" s="112"/>
      <c r="J150" s="77"/>
    </row>
    <row r="151" spans="3:10" ht="26.25" hidden="1" customHeight="1" x14ac:dyDescent="0.25">
      <c r="D151" s="112"/>
      <c r="E151" s="87" t="s">
        <v>207</v>
      </c>
      <c r="F151" s="112"/>
      <c r="G151" s="112"/>
      <c r="H151" s="112"/>
      <c r="I151" s="112"/>
      <c r="J151" s="77"/>
    </row>
    <row r="152" spans="3:10" ht="15" hidden="1" customHeight="1" x14ac:dyDescent="0.25">
      <c r="D152" s="112"/>
      <c r="E152" s="121">
        <f>E123*$F$27</f>
        <v>16332.651</v>
      </c>
      <c r="F152" s="112"/>
      <c r="G152" s="112"/>
      <c r="H152" s="112"/>
      <c r="I152" s="112"/>
      <c r="J152" s="77"/>
    </row>
    <row r="153" spans="3:10" ht="51.75" hidden="1" customHeight="1" x14ac:dyDescent="0.25">
      <c r="D153" s="112"/>
      <c r="E153" s="112"/>
      <c r="F153" s="112"/>
      <c r="G153" s="112"/>
      <c r="H153" s="112"/>
      <c r="I153" s="87" t="s">
        <v>235</v>
      </c>
      <c r="J153" s="77"/>
    </row>
    <row r="154" spans="3:10" ht="15" hidden="1" customHeight="1" x14ac:dyDescent="0.25">
      <c r="D154" s="112"/>
      <c r="E154" s="112"/>
      <c r="F154" s="112"/>
      <c r="G154" s="112"/>
      <c r="H154" s="112"/>
      <c r="I154" s="223">
        <f>I125*$F$34</f>
        <v>1783.2149999999997</v>
      </c>
      <c r="J154" s="77"/>
    </row>
    <row r="155" spans="3:10" ht="51.75" hidden="1" customHeight="1" x14ac:dyDescent="0.25">
      <c r="D155" s="112"/>
      <c r="E155" s="112"/>
      <c r="F155" s="112"/>
      <c r="G155" s="112"/>
      <c r="H155" s="112"/>
      <c r="I155" s="87" t="s">
        <v>236</v>
      </c>
      <c r="J155" s="77"/>
    </row>
    <row r="156" spans="3:10" ht="15" hidden="1" customHeight="1" x14ac:dyDescent="0.25">
      <c r="D156" s="112"/>
      <c r="E156" s="112"/>
      <c r="F156" s="112"/>
      <c r="G156" s="112"/>
      <c r="H156" s="112"/>
      <c r="I156" s="223">
        <f>I127*$F$35</f>
        <v>787.82759999999996</v>
      </c>
      <c r="J156" s="77"/>
    </row>
    <row r="157" spans="3:10" ht="51.75" hidden="1" customHeight="1" x14ac:dyDescent="0.25">
      <c r="D157" s="112"/>
      <c r="E157" s="112"/>
      <c r="F157" s="112"/>
      <c r="G157" s="112"/>
      <c r="H157" s="112"/>
      <c r="I157" s="87" t="s">
        <v>237</v>
      </c>
      <c r="J157" s="77"/>
    </row>
    <row r="158" spans="3:10" ht="15" hidden="1" customHeight="1" x14ac:dyDescent="0.25">
      <c r="D158" s="112"/>
      <c r="E158" s="112"/>
      <c r="F158" s="112"/>
      <c r="G158" s="112"/>
      <c r="H158" s="112"/>
      <c r="I158" s="223">
        <f>I129*$F$36</f>
        <v>0</v>
      </c>
      <c r="J158" s="77"/>
    </row>
    <row r="159" spans="3:10" ht="51.75" hidden="1" customHeight="1" x14ac:dyDescent="0.25">
      <c r="D159" s="112"/>
      <c r="E159" s="112"/>
      <c r="F159" s="112"/>
      <c r="G159" s="112"/>
      <c r="H159" s="112"/>
      <c r="I159" s="87" t="s">
        <v>238</v>
      </c>
      <c r="J159" s="77"/>
    </row>
    <row r="160" spans="3:10" ht="15.75" hidden="1" customHeight="1" thickBot="1" x14ac:dyDescent="0.3">
      <c r="D160" s="112"/>
      <c r="E160" s="112"/>
      <c r="F160" s="112"/>
      <c r="G160" s="112"/>
      <c r="H160" s="112"/>
      <c r="I160" s="223">
        <f>I131*$F$37</f>
        <v>292.06169999999997</v>
      </c>
      <c r="J160" s="77"/>
    </row>
    <row r="161" spans="1:10" ht="39.75" hidden="1" customHeight="1" thickBot="1" x14ac:dyDescent="0.3">
      <c r="C161" s="122" t="s">
        <v>210</v>
      </c>
      <c r="D161" s="207"/>
      <c r="E161" s="208">
        <f>E150+E152</f>
        <v>58157.480250000001</v>
      </c>
      <c r="F161" s="208"/>
      <c r="G161" s="208"/>
      <c r="H161" s="208"/>
      <c r="I161" s="243">
        <f>I154+I156+I158+I160</f>
        <v>2863.1043</v>
      </c>
      <c r="J161" s="77"/>
    </row>
    <row r="162" spans="1:10" ht="15.75" hidden="1" customHeight="1" thickBot="1" x14ac:dyDescent="0.3">
      <c r="A162" s="101"/>
      <c r="B162" s="101"/>
      <c r="C162" s="101"/>
      <c r="D162" s="101"/>
      <c r="E162" s="101"/>
      <c r="F162" s="101"/>
      <c r="G162" s="101"/>
      <c r="H162" s="101"/>
      <c r="I162" s="101"/>
      <c r="J162" s="105"/>
    </row>
    <row r="163" spans="1:10" s="43" customFormat="1" ht="15" hidden="1" customHeight="1" x14ac:dyDescent="0.25">
      <c r="A163" s="43" t="s">
        <v>127</v>
      </c>
      <c r="C163" s="43" t="s">
        <v>267</v>
      </c>
      <c r="J163" s="248"/>
    </row>
    <row r="164" spans="1:10" ht="15" customHeight="1" x14ac:dyDescent="0.25">
      <c r="J164" s="77"/>
    </row>
    <row r="165" spans="1:10" ht="15.75" thickBot="1" x14ac:dyDescent="0.3">
      <c r="F165" s="294" t="s">
        <v>28</v>
      </c>
    </row>
    <row r="166" spans="1:10" ht="15.75" hidden="1" thickBot="1" x14ac:dyDescent="0.3">
      <c r="A166" s="83">
        <v>0</v>
      </c>
      <c r="B166" s="83"/>
      <c r="C166" s="565" t="s">
        <v>174</v>
      </c>
      <c r="D166" s="565"/>
      <c r="E166" s="565"/>
      <c r="F166" s="565"/>
    </row>
    <row r="167" spans="1:10" ht="15.75" thickTop="1" x14ac:dyDescent="0.25">
      <c r="A167" s="1" t="s">
        <v>262</v>
      </c>
      <c r="B167" s="1"/>
      <c r="E167" s="292" t="s">
        <v>55</v>
      </c>
      <c r="F167" s="338">
        <v>2018</v>
      </c>
    </row>
    <row r="168" spans="1:10" ht="15.75" thickBot="1" x14ac:dyDescent="0.3">
      <c r="A168" s="152" t="s">
        <v>213</v>
      </c>
      <c r="B168" s="419"/>
      <c r="C168" s="73"/>
      <c r="D168" s="73"/>
      <c r="E168" s="73"/>
      <c r="F168" s="339">
        <v>365</v>
      </c>
    </row>
    <row r="169" spans="1:10" ht="16.5" thickTop="1" thickBot="1" x14ac:dyDescent="0.3">
      <c r="A169" s="144" t="s">
        <v>191</v>
      </c>
      <c r="B169" s="144" t="s">
        <v>287</v>
      </c>
      <c r="C169" s="286" t="s">
        <v>192</v>
      </c>
      <c r="D169" s="287" t="s">
        <v>147</v>
      </c>
      <c r="E169" s="287" t="s">
        <v>148</v>
      </c>
      <c r="F169" s="293" t="s">
        <v>149</v>
      </c>
      <c r="G169" s="287" t="s">
        <v>150</v>
      </c>
      <c r="H169" s="287" t="s">
        <v>151</v>
      </c>
      <c r="I169" s="287" t="s">
        <v>152</v>
      </c>
    </row>
    <row r="170" spans="1:10" s="297" customFormat="1" ht="15.75" thickTop="1" x14ac:dyDescent="0.25">
      <c r="A170" s="305">
        <v>1</v>
      </c>
      <c r="B170" s="299" t="s">
        <v>295</v>
      </c>
      <c r="C170" s="421">
        <v>1.45</v>
      </c>
      <c r="D170" s="307">
        <v>62</v>
      </c>
      <c r="E170" s="307">
        <v>452</v>
      </c>
      <c r="F170" s="307">
        <v>265</v>
      </c>
      <c r="G170" s="307">
        <v>8</v>
      </c>
      <c r="H170" s="307">
        <v>14</v>
      </c>
      <c r="I170" s="308">
        <v>1</v>
      </c>
    </row>
    <row r="171" spans="1:10" s="297" customFormat="1" x14ac:dyDescent="0.25">
      <c r="A171" s="305">
        <f>A170+1</f>
        <v>2</v>
      </c>
      <c r="B171" s="299" t="s">
        <v>296</v>
      </c>
      <c r="C171" s="422">
        <v>1.45</v>
      </c>
      <c r="D171" s="299">
        <v>75</v>
      </c>
      <c r="E171" s="299">
        <v>532</v>
      </c>
      <c r="F171" s="299">
        <v>332</v>
      </c>
      <c r="G171" s="299">
        <v>6</v>
      </c>
      <c r="H171" s="299">
        <v>10</v>
      </c>
      <c r="I171" s="310">
        <v>8</v>
      </c>
    </row>
    <row r="172" spans="1:10" s="297" customFormat="1" x14ac:dyDescent="0.25">
      <c r="A172" s="305">
        <f t="shared" ref="A172:A180" si="5">A171+1</f>
        <v>3</v>
      </c>
      <c r="B172" s="299" t="s">
        <v>297</v>
      </c>
      <c r="C172" s="422">
        <v>0.64</v>
      </c>
      <c r="D172" s="299">
        <v>65</v>
      </c>
      <c r="E172" s="299">
        <v>361</v>
      </c>
      <c r="F172" s="299">
        <v>168</v>
      </c>
      <c r="G172" s="299">
        <v>3</v>
      </c>
      <c r="H172" s="299">
        <v>4</v>
      </c>
      <c r="I172" s="310">
        <v>0</v>
      </c>
    </row>
    <row r="173" spans="1:10" s="297" customFormat="1" x14ac:dyDescent="0.25">
      <c r="A173" s="305">
        <f t="shared" si="5"/>
        <v>4</v>
      </c>
      <c r="B173" s="299"/>
      <c r="C173" s="422">
        <v>0.16</v>
      </c>
      <c r="D173" s="299">
        <v>54</v>
      </c>
      <c r="E173" s="299">
        <v>385</v>
      </c>
      <c r="F173" s="299">
        <v>159</v>
      </c>
      <c r="G173" s="299">
        <v>4</v>
      </c>
      <c r="H173" s="299">
        <v>5</v>
      </c>
      <c r="I173" s="310">
        <v>0</v>
      </c>
    </row>
    <row r="174" spans="1:10" s="297" customFormat="1" x14ac:dyDescent="0.25">
      <c r="A174" s="305">
        <f>A173+1</f>
        <v>5</v>
      </c>
      <c r="B174" s="299"/>
      <c r="C174" s="422">
        <v>1.29</v>
      </c>
      <c r="D174" s="299">
        <v>68</v>
      </c>
      <c r="E174" s="299">
        <v>352</v>
      </c>
      <c r="F174" s="299">
        <v>132</v>
      </c>
      <c r="G174" s="299">
        <v>2</v>
      </c>
      <c r="H174" s="299">
        <v>10</v>
      </c>
      <c r="I174" s="310">
        <v>5</v>
      </c>
    </row>
    <row r="175" spans="1:10" s="297" customFormat="1" x14ac:dyDescent="0.25">
      <c r="A175" s="305">
        <f t="shared" si="5"/>
        <v>6</v>
      </c>
      <c r="B175" s="299"/>
      <c r="C175" s="422">
        <v>0.64</v>
      </c>
      <c r="D175" s="299">
        <v>54</v>
      </c>
      <c r="E175" s="299">
        <v>252</v>
      </c>
      <c r="F175" s="299">
        <v>136</v>
      </c>
      <c r="G175" s="299">
        <v>1</v>
      </c>
      <c r="H175" s="299">
        <v>8</v>
      </c>
      <c r="I175" s="310">
        <v>1</v>
      </c>
    </row>
    <row r="176" spans="1:10" s="297" customFormat="1" x14ac:dyDescent="0.25">
      <c r="A176" s="305">
        <f t="shared" si="5"/>
        <v>7</v>
      </c>
      <c r="B176" s="299"/>
      <c r="C176" s="422">
        <v>1.1299999999999999</v>
      </c>
      <c r="D176" s="299">
        <v>80</v>
      </c>
      <c r="E176" s="299">
        <v>563</v>
      </c>
      <c r="F176" s="299">
        <v>252</v>
      </c>
      <c r="G176" s="299">
        <v>7</v>
      </c>
      <c r="H176" s="299">
        <v>25</v>
      </c>
      <c r="I176" s="310">
        <v>6</v>
      </c>
    </row>
    <row r="177" spans="1:10" s="297" customFormat="1" x14ac:dyDescent="0.25">
      <c r="A177" s="305">
        <f>A176+1</f>
        <v>8</v>
      </c>
      <c r="B177" s="299"/>
      <c r="C177" s="422">
        <v>0.83</v>
      </c>
      <c r="D177" s="299">
        <v>20</v>
      </c>
      <c r="E177" s="299">
        <v>125</v>
      </c>
      <c r="F177" s="299">
        <v>15</v>
      </c>
      <c r="G177" s="299">
        <v>1</v>
      </c>
      <c r="H177" s="299">
        <v>2</v>
      </c>
      <c r="I177" s="310">
        <v>1</v>
      </c>
    </row>
    <row r="178" spans="1:10" s="297" customFormat="1" x14ac:dyDescent="0.25">
      <c r="A178" s="305">
        <f t="shared" si="5"/>
        <v>9</v>
      </c>
      <c r="B178" s="299"/>
      <c r="C178" s="422">
        <v>1.29</v>
      </c>
      <c r="D178" s="299">
        <v>45</v>
      </c>
      <c r="E178" s="299">
        <v>386</v>
      </c>
      <c r="F178" s="299">
        <v>142</v>
      </c>
      <c r="G178" s="299">
        <v>8</v>
      </c>
      <c r="H178" s="299">
        <v>8</v>
      </c>
      <c r="I178" s="310">
        <v>1</v>
      </c>
    </row>
    <row r="179" spans="1:10" s="297" customFormat="1" x14ac:dyDescent="0.25">
      <c r="A179" s="305">
        <f t="shared" si="5"/>
        <v>10</v>
      </c>
      <c r="B179" s="299"/>
      <c r="C179" s="422">
        <v>0.83</v>
      </c>
      <c r="D179" s="299">
        <v>49</v>
      </c>
      <c r="E179" s="299">
        <v>453</v>
      </c>
      <c r="F179" s="299">
        <v>138</v>
      </c>
      <c r="G179" s="299">
        <v>6</v>
      </c>
      <c r="H179" s="299">
        <v>7</v>
      </c>
      <c r="I179" s="310">
        <v>0</v>
      </c>
    </row>
    <row r="180" spans="1:10" s="297" customFormat="1" x14ac:dyDescent="0.25">
      <c r="A180" s="305">
        <f t="shared" si="5"/>
        <v>11</v>
      </c>
      <c r="B180" s="299"/>
      <c r="C180" s="422">
        <v>1.03</v>
      </c>
      <c r="D180" s="299">
        <v>73</v>
      </c>
      <c r="E180" s="299">
        <v>452</v>
      </c>
      <c r="F180" s="299">
        <v>230</v>
      </c>
      <c r="G180" s="299">
        <v>7</v>
      </c>
      <c r="H180" s="299">
        <v>4</v>
      </c>
      <c r="I180" s="310">
        <v>3</v>
      </c>
    </row>
    <row r="181" spans="1:10" s="297" customFormat="1" ht="15.75" thickBot="1" x14ac:dyDescent="0.3">
      <c r="A181" s="334" t="s">
        <v>243</v>
      </c>
      <c r="B181" s="420"/>
      <c r="C181" s="335"/>
      <c r="D181" s="336"/>
      <c r="E181" s="336"/>
      <c r="F181" s="336"/>
      <c r="G181" s="336"/>
      <c r="H181" s="336"/>
      <c r="I181" s="337"/>
    </row>
    <row r="182" spans="1:10" s="147" customFormat="1" ht="15" customHeight="1" thickTop="1" x14ac:dyDescent="0.25">
      <c r="C182" s="288"/>
      <c r="D182" s="289" t="s">
        <v>153</v>
      </c>
      <c r="E182" s="290"/>
      <c r="F182" s="290"/>
      <c r="G182" s="290"/>
      <c r="H182" s="290"/>
      <c r="I182" s="291"/>
      <c r="J182" s="199"/>
    </row>
    <row r="183" spans="1:10" x14ac:dyDescent="0.25">
      <c r="C183" s="213" t="s">
        <v>260</v>
      </c>
      <c r="D183" s="213" t="s">
        <v>212</v>
      </c>
      <c r="E183" s="213" t="s">
        <v>212</v>
      </c>
      <c r="F183" s="213" t="s">
        <v>212</v>
      </c>
      <c r="G183" s="213" t="s">
        <v>212</v>
      </c>
      <c r="H183" s="213" t="s">
        <v>212</v>
      </c>
      <c r="I183" s="213" t="s">
        <v>212</v>
      </c>
      <c r="J183" s="199"/>
    </row>
    <row r="184" spans="1:10" x14ac:dyDescent="0.25">
      <c r="C184" s="211"/>
      <c r="D184" s="72" t="s">
        <v>147</v>
      </c>
      <c r="E184" s="72" t="s">
        <v>148</v>
      </c>
      <c r="F184" s="72" t="s">
        <v>149</v>
      </c>
      <c r="G184" s="72" t="s">
        <v>150</v>
      </c>
      <c r="H184" s="72" t="s">
        <v>151</v>
      </c>
      <c r="I184" s="72" t="s">
        <v>152</v>
      </c>
      <c r="J184" s="199"/>
    </row>
    <row r="185" spans="1:10" x14ac:dyDescent="0.25">
      <c r="C185" s="134">
        <f t="shared" ref="C185:I185" si="6">SUM(C170:C181)</f>
        <v>10.739999999999998</v>
      </c>
      <c r="D185" s="134">
        <f t="shared" si="6"/>
        <v>645</v>
      </c>
      <c r="E185" s="134">
        <f t="shared" si="6"/>
        <v>4313</v>
      </c>
      <c r="F185" s="134">
        <f t="shared" si="6"/>
        <v>1969</v>
      </c>
      <c r="G185" s="134">
        <f t="shared" si="6"/>
        <v>53</v>
      </c>
      <c r="H185" s="134">
        <f t="shared" si="6"/>
        <v>97</v>
      </c>
      <c r="I185" s="134">
        <f t="shared" si="6"/>
        <v>26</v>
      </c>
      <c r="J185" s="198"/>
    </row>
    <row r="186" spans="1:10" x14ac:dyDescent="0.25">
      <c r="A186" s="215" t="s">
        <v>261</v>
      </c>
      <c r="B186" s="215"/>
      <c r="C186" s="185"/>
      <c r="D186" s="185"/>
      <c r="E186" s="185"/>
      <c r="F186" s="185"/>
      <c r="G186" s="185"/>
      <c r="H186" s="185"/>
      <c r="I186" s="186"/>
      <c r="J186" s="198"/>
    </row>
    <row r="187" spans="1:10" x14ac:dyDescent="0.25">
      <c r="A187" s="185"/>
      <c r="B187" s="185"/>
      <c r="C187" s="185"/>
      <c r="D187" s="185"/>
      <c r="E187" s="185"/>
      <c r="F187" s="185"/>
      <c r="G187" s="185"/>
      <c r="H187" s="185"/>
      <c r="I187" s="186"/>
      <c r="J187" s="187"/>
    </row>
    <row r="188" spans="1:10" x14ac:dyDescent="0.25">
      <c r="A188" s="537" t="s">
        <v>214</v>
      </c>
      <c r="B188" s="537"/>
      <c r="C188" s="537"/>
      <c r="D188" s="537"/>
      <c r="E188" s="537"/>
      <c r="F188" s="537"/>
      <c r="G188" s="537"/>
      <c r="H188" s="57"/>
      <c r="I188" s="57"/>
      <c r="J188" s="57"/>
    </row>
    <row r="189" spans="1:10" ht="51.75" x14ac:dyDescent="0.25">
      <c r="A189" s="71" t="s">
        <v>55</v>
      </c>
      <c r="B189" s="72" t="s">
        <v>147</v>
      </c>
      <c r="C189" s="72" t="s">
        <v>148</v>
      </c>
      <c r="D189" s="72" t="s">
        <v>149</v>
      </c>
      <c r="E189" s="72" t="s">
        <v>150</v>
      </c>
      <c r="F189" s="72" t="s">
        <v>151</v>
      </c>
      <c r="G189" s="72" t="s">
        <v>152</v>
      </c>
      <c r="H189" s="70" t="s">
        <v>155</v>
      </c>
      <c r="I189" s="70" t="s">
        <v>154</v>
      </c>
    </row>
    <row r="190" spans="1:10" x14ac:dyDescent="0.25">
      <c r="A190" s="11">
        <f>F167</f>
        <v>2018</v>
      </c>
      <c r="B190" s="74">
        <f>($D145+$D148+$D161)/1000000</f>
        <v>7.5954278399999992E-2</v>
      </c>
      <c r="C190" s="74">
        <f>($E145+$E148+$E161)/1000000</f>
        <v>0.95452205962500003</v>
      </c>
      <c r="D190" s="74">
        <f>($F145+$F148+$F161)/1000000</f>
        <v>0.677895672</v>
      </c>
      <c r="E190" s="74">
        <f>($G$145+$G$148+$G$161)/1000000</f>
        <v>4.4774729999999999E-2</v>
      </c>
      <c r="F190" s="74">
        <f>($H145+$H148+$H161)/1000000</f>
        <v>3.0870502000000001E-2</v>
      </c>
      <c r="G190" s="74">
        <f>($I145+$I148+$I161)/1000000</f>
        <v>2.5447281299999999E-2</v>
      </c>
      <c r="H190" s="74">
        <f>SUM(B190:G190)</f>
        <v>1.809464523325</v>
      </c>
      <c r="I190" s="103"/>
    </row>
    <row r="191" spans="1:10" x14ac:dyDescent="0.25">
      <c r="A191" s="252"/>
      <c r="B191" s="253">
        <f t="shared" ref="B191:G191" si="7">B190*$F168</f>
        <v>27.723311615999997</v>
      </c>
      <c r="C191" s="253">
        <f t="shared" si="7"/>
        <v>348.40055176312501</v>
      </c>
      <c r="D191" s="253">
        <f t="shared" si="7"/>
        <v>247.43192028000001</v>
      </c>
      <c r="E191" s="253">
        <f t="shared" si="7"/>
        <v>16.342776449999999</v>
      </c>
      <c r="F191" s="253">
        <f t="shared" si="7"/>
        <v>11.267733230000001</v>
      </c>
      <c r="G191" s="253">
        <f t="shared" si="7"/>
        <v>9.2882576745000005</v>
      </c>
      <c r="H191" s="253"/>
      <c r="I191" s="254">
        <f>SUM(B191:G191)</f>
        <v>660.45455101362495</v>
      </c>
    </row>
    <row r="192" spans="1:10" x14ac:dyDescent="0.25">
      <c r="A192" s="99"/>
      <c r="B192" s="99"/>
      <c r="C192" s="99"/>
      <c r="D192" s="99"/>
      <c r="E192" s="99"/>
      <c r="F192" s="99"/>
      <c r="G192" s="99"/>
      <c r="H192" s="99"/>
      <c r="I192" s="99"/>
    </row>
    <row r="193" spans="1:10" x14ac:dyDescent="0.25">
      <c r="A193" s="99"/>
      <c r="B193" s="99"/>
      <c r="C193" s="99"/>
      <c r="D193" s="99"/>
      <c r="E193" s="99"/>
      <c r="F193" s="99"/>
      <c r="G193" s="99"/>
      <c r="H193" s="99"/>
      <c r="I193" s="99"/>
    </row>
    <row r="194" spans="1:10" s="297" customFormat="1" x14ac:dyDescent="0.25">
      <c r="J194"/>
    </row>
    <row r="196" spans="1:10" x14ac:dyDescent="0.25">
      <c r="J196" s="77"/>
    </row>
    <row r="197" spans="1:10" x14ac:dyDescent="0.25">
      <c r="J197" s="77"/>
    </row>
    <row r="198" spans="1:10" x14ac:dyDescent="0.25">
      <c r="J198" s="77"/>
    </row>
    <row r="288" spans="10:10" x14ac:dyDescent="0.25">
      <c r="J288" s="77"/>
    </row>
    <row r="310" ht="15" customHeight="1" x14ac:dyDescent="0.25"/>
  </sheetData>
  <sheetProtection algorithmName="SHA-512" hashValue="XCffSrlasHZUorf1E0nLbQwjpUdze8jwnN7gauk0CtnfpW4MCyfV0bVYXUSBJtO9nhB23ukxJdBpiEqkRuUEOg==" saltValue="dDE0loQeexUCy/VMYkIARQ==" spinCount="100000" sheet="1" insertRows="0" selectLockedCells="1"/>
  <protectedRanges>
    <protectedRange sqref="E42 E43:G43 E44:F44 F45 E46:F46 E47:G47" name="Vehicle Fleet Characteristics_1"/>
  </protectedRanges>
  <mergeCells count="25">
    <mergeCell ref="A188:G188"/>
    <mergeCell ref="C9:D9"/>
    <mergeCell ref="C10:G10"/>
    <mergeCell ref="H9:I9"/>
    <mergeCell ref="C166:F166"/>
    <mergeCell ref="D17:E17"/>
    <mergeCell ref="G17:H17"/>
    <mergeCell ref="A80:A81"/>
    <mergeCell ref="D15:E15"/>
    <mergeCell ref="G15:H15"/>
    <mergeCell ref="D16:E16"/>
    <mergeCell ref="G16:H16"/>
    <mergeCell ref="D13:E13"/>
    <mergeCell ref="G13:H13"/>
    <mergeCell ref="D14:E14"/>
    <mergeCell ref="G14:H14"/>
    <mergeCell ref="F9:G9"/>
    <mergeCell ref="D12:E12"/>
    <mergeCell ref="G12:H12"/>
    <mergeCell ref="A1:I1"/>
    <mergeCell ref="A3:B3"/>
    <mergeCell ref="A4:B4"/>
    <mergeCell ref="A5:B5"/>
    <mergeCell ref="A6:B6"/>
    <mergeCell ref="A7:B7"/>
  </mergeCells>
  <pageMargins left="0.43307086614173229" right="0.23622047244094491" top="0.84558823529411764" bottom="0.74803149606299213" header="0.31496062992125984" footer="0.31496062992125984"/>
  <pageSetup paperSize="9" orientation="portrait" r:id="rId1"/>
  <headerFooter>
    <oddHeader>&amp;LMALAYSIAN GREEN TECHNOLOGY AND CLIMATE CHANGE CORPORATION (MGTC)&amp;RMGTC/DC/REC/LCC-011
Version:  1/ JUNE 2022</oddHeader>
    <oddFooter>&amp;L
&amp;A&amp;R
Page &amp;P of &amp;N</odd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01F68-E54A-4533-9446-21EAFA3E28D7}">
  <sheetPr>
    <tabColor rgb="FF3333FF"/>
  </sheetPr>
  <dimension ref="A1:N310"/>
  <sheetViews>
    <sheetView view="pageLayout" zoomScale="85" zoomScaleNormal="100" zoomScalePageLayoutView="85" workbookViewId="0">
      <selection activeCell="G172" sqref="G172"/>
    </sheetView>
  </sheetViews>
  <sheetFormatPr defaultColWidth="9.140625" defaultRowHeight="15" x14ac:dyDescent="0.25"/>
  <cols>
    <col min="1" max="1" width="6.85546875" customWidth="1"/>
    <col min="2" max="2" width="20.7109375" customWidth="1"/>
    <col min="3" max="3" width="10.5703125" customWidth="1"/>
    <col min="4" max="7" width="9.5703125" customWidth="1"/>
    <col min="8" max="9" width="10.140625" customWidth="1"/>
    <col min="10" max="10" width="12.42578125" customWidth="1"/>
  </cols>
  <sheetData>
    <row r="1" spans="1:10" ht="16.5" thickBot="1" x14ac:dyDescent="0.3">
      <c r="A1" s="475" t="s">
        <v>136</v>
      </c>
      <c r="B1" s="476"/>
      <c r="C1" s="476"/>
      <c r="D1" s="476"/>
      <c r="E1" s="476"/>
      <c r="F1" s="476"/>
      <c r="G1" s="476"/>
      <c r="H1" s="476"/>
      <c r="I1" s="477"/>
    </row>
    <row r="2" spans="1:10" ht="6.75" customHeight="1" x14ac:dyDescent="0.25"/>
    <row r="3" spans="1:10" x14ac:dyDescent="0.25">
      <c r="A3" s="470" t="s">
        <v>27</v>
      </c>
      <c r="B3" s="470"/>
      <c r="C3" s="423" t="str">
        <f>'Summary (Main)'!D11</f>
        <v>LCC-Z-B090-XX-XXXX</v>
      </c>
      <c r="D3" s="423"/>
      <c r="E3" s="423"/>
      <c r="F3" s="423"/>
      <c r="G3" s="423"/>
      <c r="H3" s="423"/>
      <c r="I3" s="423"/>
    </row>
    <row r="4" spans="1:10" x14ac:dyDescent="0.25">
      <c r="A4" s="470" t="s">
        <v>78</v>
      </c>
      <c r="B4" s="470"/>
      <c r="C4" s="423" t="str">
        <f>'Summary (Main)'!D12</f>
        <v>MAJLIS PERBANDARAN XXY</v>
      </c>
      <c r="D4" s="423"/>
      <c r="E4" s="423"/>
      <c r="F4" s="423"/>
      <c r="G4" s="423"/>
      <c r="H4" s="423"/>
      <c r="I4" s="423"/>
    </row>
    <row r="5" spans="1:10" x14ac:dyDescent="0.25">
      <c r="A5" s="470" t="s">
        <v>0</v>
      </c>
      <c r="B5" s="470"/>
      <c r="C5" s="423" t="str">
        <f>'Summary (Main)'!D13</f>
        <v>MAJLIS PERBANDARAN XXY</v>
      </c>
      <c r="D5" s="423"/>
      <c r="E5" s="423"/>
      <c r="F5" s="423"/>
      <c r="G5" s="423"/>
      <c r="H5" s="423"/>
      <c r="I5" s="423"/>
    </row>
    <row r="6" spans="1:10" x14ac:dyDescent="0.25">
      <c r="A6" s="470" t="s">
        <v>129</v>
      </c>
      <c r="B6" s="470"/>
      <c r="C6" s="423">
        <f>'Summary (Main)'!D14</f>
        <v>77432</v>
      </c>
      <c r="D6" s="423"/>
      <c r="E6" s="423"/>
      <c r="F6" s="423"/>
      <c r="G6" s="423"/>
      <c r="H6" s="423"/>
      <c r="I6" s="423"/>
    </row>
    <row r="7" spans="1:10" x14ac:dyDescent="0.25">
      <c r="A7" s="470" t="s">
        <v>137</v>
      </c>
      <c r="B7" s="470"/>
      <c r="C7" s="423">
        <f>'Summary (Main)'!D15</f>
        <v>451.36</v>
      </c>
      <c r="D7" s="423"/>
      <c r="E7" s="423"/>
      <c r="F7" s="423"/>
      <c r="G7" s="423"/>
      <c r="H7" s="423"/>
      <c r="I7" s="423"/>
    </row>
    <row r="8" spans="1:10" ht="6.75" customHeight="1" x14ac:dyDescent="0.25">
      <c r="A8" s="5"/>
      <c r="B8" s="5"/>
      <c r="C8" s="5"/>
      <c r="D8" s="5"/>
    </row>
    <row r="9" spans="1:10" x14ac:dyDescent="0.25">
      <c r="A9" s="1" t="s">
        <v>7</v>
      </c>
      <c r="B9" s="1"/>
      <c r="C9" s="556" t="s">
        <v>240</v>
      </c>
      <c r="D9" s="558"/>
      <c r="E9" s="3"/>
      <c r="F9" s="1" t="s">
        <v>12</v>
      </c>
      <c r="G9" s="1"/>
      <c r="H9" s="501" t="s">
        <v>60</v>
      </c>
      <c r="I9" s="502"/>
      <c r="J9" s="194"/>
    </row>
    <row r="10" spans="1:10" x14ac:dyDescent="0.25">
      <c r="A10" s="1" t="s">
        <v>6</v>
      </c>
      <c r="B10" s="1"/>
      <c r="C10" s="503" t="s">
        <v>139</v>
      </c>
      <c r="D10" s="504"/>
      <c r="E10" s="504"/>
      <c r="F10" s="504"/>
      <c r="G10" s="510"/>
    </row>
    <row r="11" spans="1:10" ht="15" hidden="1" customHeight="1" x14ac:dyDescent="0.25">
      <c r="A11" s="190" t="s">
        <v>127</v>
      </c>
      <c r="B11" s="190"/>
      <c r="C11" s="178" t="s">
        <v>245</v>
      </c>
      <c r="D11" s="178"/>
      <c r="E11" s="178"/>
      <c r="F11" s="178"/>
      <c r="G11" s="178"/>
      <c r="H11" s="178"/>
      <c r="I11" s="178"/>
      <c r="J11" s="178"/>
    </row>
    <row r="12" spans="1:10" ht="15" hidden="1" customHeight="1" x14ac:dyDescent="0.25">
      <c r="A12" s="1" t="s">
        <v>9</v>
      </c>
      <c r="B12" s="1"/>
      <c r="D12" t="s">
        <v>68</v>
      </c>
      <c r="F12" s="13">
        <f>'Mobility 2 - Estimate'!G13</f>
        <v>1.92</v>
      </c>
      <c r="G12" t="s">
        <v>71</v>
      </c>
      <c r="I12" s="194" t="s">
        <v>72</v>
      </c>
      <c r="J12" s="194"/>
    </row>
    <row r="13" spans="1:10" ht="15" hidden="1" customHeight="1" x14ac:dyDescent="0.25">
      <c r="D13" t="s">
        <v>69</v>
      </c>
      <c r="F13" s="13">
        <f>'Mobility 2 - Estimate'!G14</f>
        <v>2.74</v>
      </c>
      <c r="G13" t="s">
        <v>71</v>
      </c>
      <c r="I13" s="194" t="s">
        <v>72</v>
      </c>
      <c r="J13" s="194"/>
    </row>
    <row r="14" spans="1:10" ht="15" hidden="1" customHeight="1" x14ac:dyDescent="0.25">
      <c r="D14" t="s">
        <v>70</v>
      </c>
      <c r="F14" s="13">
        <f>'Mobility 2 - Estimate'!G15</f>
        <v>59.19</v>
      </c>
      <c r="G14" t="s">
        <v>81</v>
      </c>
      <c r="I14" s="194" t="s">
        <v>72</v>
      </c>
      <c r="J14" s="194"/>
    </row>
    <row r="15" spans="1:10" ht="15" hidden="1" customHeight="1" x14ac:dyDescent="0.25">
      <c r="D15" t="s">
        <v>61</v>
      </c>
      <c r="F15" s="13">
        <f>'Mobility 2 - Estimate'!G16</f>
        <v>0.18368000000000001</v>
      </c>
      <c r="G15" t="s">
        <v>62</v>
      </c>
      <c r="I15" s="194" t="s">
        <v>63</v>
      </c>
      <c r="J15" s="194"/>
    </row>
    <row r="16" spans="1:10" ht="15" hidden="1" customHeight="1" x14ac:dyDescent="0.25">
      <c r="D16" t="s">
        <v>64</v>
      </c>
      <c r="F16" s="13">
        <f>'Mobility 2 - Estimate'!G17</f>
        <v>0.11529</v>
      </c>
      <c r="G16" t="s">
        <v>62</v>
      </c>
      <c r="I16" s="194" t="s">
        <v>63</v>
      </c>
      <c r="J16" s="194"/>
    </row>
    <row r="17" spans="4:10" ht="15" hidden="1" customHeight="1" x14ac:dyDescent="0.25">
      <c r="D17" t="s">
        <v>65</v>
      </c>
      <c r="F17" s="13">
        <f>'Mobility 2 - Estimate'!G18</f>
        <v>0.79100000000000004</v>
      </c>
      <c r="G17" t="s">
        <v>62</v>
      </c>
      <c r="I17" s="194" t="s">
        <v>66</v>
      </c>
      <c r="J17" s="194"/>
    </row>
    <row r="18" spans="4:10" ht="15" hidden="1" customHeight="1" x14ac:dyDescent="0.25">
      <c r="D18" s="204" t="s">
        <v>250</v>
      </c>
      <c r="E18" s="6"/>
      <c r="F18" s="13">
        <f>'Mobility 2 - Estimate'!G19</f>
        <v>59.4</v>
      </c>
      <c r="G18" s="3" t="s">
        <v>182</v>
      </c>
      <c r="H18" s="3"/>
      <c r="I18" s="182"/>
      <c r="J18" s="182"/>
    </row>
    <row r="19" spans="4:10" ht="15" hidden="1" customHeight="1" x14ac:dyDescent="0.25">
      <c r="D19" s="6" t="s">
        <v>183</v>
      </c>
      <c r="E19" s="6"/>
      <c r="F19" s="13">
        <f>'Mobility 2 - Estimate'!G20</f>
        <v>98.8</v>
      </c>
      <c r="G19" s="3" t="s">
        <v>182</v>
      </c>
      <c r="H19" s="3"/>
      <c r="I19" s="182"/>
      <c r="J19" s="182"/>
    </row>
    <row r="20" spans="4:10" ht="15" hidden="1" customHeight="1" x14ac:dyDescent="0.25">
      <c r="D20" s="6" t="s">
        <v>184</v>
      </c>
      <c r="E20" s="6"/>
      <c r="F20" s="13">
        <f>'Mobility 2 - Estimate'!G21</f>
        <v>125</v>
      </c>
      <c r="G20" s="3" t="s">
        <v>182</v>
      </c>
      <c r="H20" s="3"/>
      <c r="I20" s="182"/>
      <c r="J20" s="182"/>
    </row>
    <row r="21" spans="4:10" ht="15" hidden="1" customHeight="1" x14ac:dyDescent="0.25">
      <c r="D21" s="204" t="s">
        <v>255</v>
      </c>
      <c r="E21" s="6"/>
      <c r="F21" s="13">
        <f>'Mobility 2 - Estimate'!G22</f>
        <v>273</v>
      </c>
      <c r="G21" s="3" t="s">
        <v>182</v>
      </c>
      <c r="H21" s="3"/>
      <c r="I21" s="182"/>
      <c r="J21" s="182"/>
    </row>
    <row r="22" spans="4:10" ht="15" hidden="1" customHeight="1" x14ac:dyDescent="0.25">
      <c r="D22" s="204" t="s">
        <v>254</v>
      </c>
      <c r="E22" s="6"/>
      <c r="F22" s="13">
        <f>'Mobility 2 - Estimate'!G23</f>
        <v>228</v>
      </c>
      <c r="G22" s="3" t="s">
        <v>182</v>
      </c>
      <c r="H22" s="3"/>
      <c r="I22" s="182"/>
      <c r="J22" s="182"/>
    </row>
    <row r="23" spans="4:10" ht="15" hidden="1" customHeight="1" x14ac:dyDescent="0.25">
      <c r="D23" s="204" t="s">
        <v>253</v>
      </c>
      <c r="E23" s="6"/>
      <c r="F23" s="13">
        <f>'Mobility 2 - Estimate'!G24</f>
        <v>203</v>
      </c>
      <c r="G23" s="3" t="s">
        <v>182</v>
      </c>
      <c r="H23" s="3"/>
      <c r="I23" s="182"/>
      <c r="J23" s="182"/>
    </row>
    <row r="24" spans="4:10" ht="15" hidden="1" customHeight="1" x14ac:dyDescent="0.25">
      <c r="D24" s="6" t="s">
        <v>185</v>
      </c>
      <c r="E24" s="6"/>
      <c r="F24" s="13">
        <f>'Mobility 2 - Estimate'!G25</f>
        <v>193</v>
      </c>
      <c r="G24" s="3" t="s">
        <v>182</v>
      </c>
      <c r="H24" s="3"/>
      <c r="I24" s="182"/>
      <c r="J24" s="182"/>
    </row>
    <row r="25" spans="4:10" ht="15" hidden="1" customHeight="1" x14ac:dyDescent="0.25">
      <c r="D25" s="6" t="s">
        <v>186</v>
      </c>
      <c r="E25" s="6"/>
      <c r="F25" s="13">
        <f>'Mobility 2 - Estimate'!G26</f>
        <v>221</v>
      </c>
      <c r="G25" s="3" t="s">
        <v>182</v>
      </c>
      <c r="H25" s="3"/>
      <c r="I25" s="182"/>
      <c r="J25" s="182"/>
    </row>
    <row r="26" spans="4:10" ht="15" hidden="1" customHeight="1" x14ac:dyDescent="0.25">
      <c r="D26" s="113" t="s">
        <v>208</v>
      </c>
      <c r="E26" s="6"/>
      <c r="F26" s="13">
        <f>'Mobility 2 - Estimate'!G27</f>
        <v>379</v>
      </c>
      <c r="G26" s="3" t="s">
        <v>182</v>
      </c>
      <c r="H26" s="3"/>
      <c r="I26" s="182"/>
      <c r="J26" s="182"/>
    </row>
    <row r="27" spans="4:10" ht="15" hidden="1" customHeight="1" x14ac:dyDescent="0.25">
      <c r="D27" s="113" t="s">
        <v>209</v>
      </c>
      <c r="E27" s="6"/>
      <c r="F27" s="13">
        <f>'Mobility 2 - Estimate'!G28</f>
        <v>148</v>
      </c>
      <c r="G27" s="3" t="s">
        <v>182</v>
      </c>
      <c r="H27" s="3"/>
      <c r="I27" s="182"/>
      <c r="J27" s="182"/>
    </row>
    <row r="28" spans="4:10" ht="15" hidden="1" customHeight="1" x14ac:dyDescent="0.25">
      <c r="D28" s="6" t="s">
        <v>187</v>
      </c>
      <c r="E28" s="6"/>
      <c r="F28" s="13">
        <f>'Mobility 2 - Estimate'!G29</f>
        <v>329</v>
      </c>
      <c r="G28" s="3" t="s">
        <v>182</v>
      </c>
      <c r="H28" s="3"/>
      <c r="I28" s="182"/>
      <c r="J28" s="182"/>
    </row>
    <row r="29" spans="4:10" ht="15" hidden="1" customHeight="1" x14ac:dyDescent="0.25">
      <c r="D29" s="113" t="s">
        <v>211</v>
      </c>
      <c r="E29" s="6"/>
      <c r="F29" s="13">
        <f>'Mobility 2 - Estimate'!G30</f>
        <v>286</v>
      </c>
      <c r="G29" s="3" t="s">
        <v>182</v>
      </c>
      <c r="H29" s="3"/>
      <c r="I29" s="182"/>
      <c r="J29" s="182"/>
    </row>
    <row r="30" spans="4:10" ht="15" hidden="1" customHeight="1" x14ac:dyDescent="0.25">
      <c r="D30" s="6" t="s">
        <v>188</v>
      </c>
      <c r="E30" s="6"/>
      <c r="F30" s="13">
        <f>'Mobility 2 - Estimate'!G31</f>
        <v>781</v>
      </c>
      <c r="G30" s="3" t="s">
        <v>182</v>
      </c>
      <c r="H30" s="3"/>
      <c r="I30" s="182"/>
      <c r="J30" s="182"/>
    </row>
    <row r="31" spans="4:10" ht="15" hidden="1" customHeight="1" x14ac:dyDescent="0.25">
      <c r="D31" s="113" t="s">
        <v>205</v>
      </c>
      <c r="E31" s="6"/>
      <c r="F31" s="13">
        <f>'Mobility 2 - Estimate'!G32</f>
        <v>329</v>
      </c>
      <c r="G31" s="3" t="s">
        <v>182</v>
      </c>
      <c r="H31" s="3"/>
      <c r="I31" s="182"/>
      <c r="J31" s="182"/>
    </row>
    <row r="32" spans="4:10" ht="15" hidden="1" customHeight="1" x14ac:dyDescent="0.25">
      <c r="D32" s="6" t="s">
        <v>189</v>
      </c>
      <c r="E32" s="6"/>
      <c r="F32" s="13">
        <f>'Mobility 2 - Estimate'!G33</f>
        <v>286</v>
      </c>
      <c r="G32" s="3" t="s">
        <v>182</v>
      </c>
      <c r="H32" s="3"/>
      <c r="I32" s="182"/>
      <c r="J32" s="182"/>
    </row>
    <row r="33" spans="1:10" ht="15" hidden="1" customHeight="1" x14ac:dyDescent="0.25">
      <c r="D33" s="6" t="s">
        <v>190</v>
      </c>
      <c r="E33" s="6"/>
      <c r="F33" s="13">
        <f>'Mobility 2 - Estimate'!G34</f>
        <v>781</v>
      </c>
      <c r="G33" s="3" t="s">
        <v>182</v>
      </c>
      <c r="H33" s="3"/>
      <c r="I33" s="182"/>
      <c r="J33" s="182"/>
    </row>
    <row r="34" spans="1:10" ht="15" hidden="1" customHeight="1" x14ac:dyDescent="0.25">
      <c r="D34" s="204" t="s">
        <v>256</v>
      </c>
      <c r="E34" s="6"/>
      <c r="F34" s="13">
        <f>'Mobility 2 - Estimate'!G35</f>
        <v>1110</v>
      </c>
      <c r="G34" s="3" t="s">
        <v>182</v>
      </c>
      <c r="H34" s="3"/>
      <c r="I34" s="182"/>
      <c r="J34" s="182"/>
    </row>
    <row r="35" spans="1:10" ht="15" hidden="1" customHeight="1" x14ac:dyDescent="0.25">
      <c r="D35" s="204" t="s">
        <v>257</v>
      </c>
      <c r="E35" s="6"/>
      <c r="F35" s="13">
        <f>'Mobility 2 - Estimate'!G36</f>
        <v>613</v>
      </c>
      <c r="G35" s="3" t="s">
        <v>182</v>
      </c>
      <c r="H35" s="3"/>
      <c r="I35" s="182"/>
      <c r="J35" s="182"/>
    </row>
    <row r="36" spans="1:10" ht="15" hidden="1" customHeight="1" x14ac:dyDescent="0.25">
      <c r="D36" s="204" t="s">
        <v>258</v>
      </c>
      <c r="E36" s="6"/>
      <c r="F36" s="13">
        <f>'Mobility 2 - Estimate'!G37</f>
        <v>1200</v>
      </c>
      <c r="G36" s="3" t="s">
        <v>182</v>
      </c>
      <c r="H36" s="3"/>
      <c r="I36" s="182"/>
      <c r="J36" s="182"/>
    </row>
    <row r="37" spans="1:10" ht="15" hidden="1" customHeight="1" x14ac:dyDescent="0.25">
      <c r="D37" s="204" t="s">
        <v>259</v>
      </c>
      <c r="E37" s="6"/>
      <c r="F37" s="13">
        <f>'Mobility 2 - Estimate'!G38</f>
        <v>909</v>
      </c>
      <c r="G37" s="3" t="s">
        <v>182</v>
      </c>
      <c r="H37" s="3"/>
      <c r="I37" s="182"/>
      <c r="J37" s="182"/>
    </row>
    <row r="38" spans="1:10" ht="14.25" hidden="1" customHeight="1" x14ac:dyDescent="0.25">
      <c r="A38" s="1"/>
      <c r="B38" s="1"/>
      <c r="D38" s="6"/>
      <c r="G38" s="3"/>
      <c r="H38" s="3"/>
      <c r="I38" s="182"/>
      <c r="J38" s="182"/>
    </row>
    <row r="39" spans="1:10" s="189" customFormat="1" ht="15" hidden="1" customHeight="1" x14ac:dyDescent="0.25">
      <c r="A39" s="47" t="s">
        <v>127</v>
      </c>
      <c r="B39" s="47"/>
      <c r="C39" s="43" t="s">
        <v>246</v>
      </c>
      <c r="D39" s="190"/>
      <c r="E39" s="190"/>
      <c r="F39" s="191"/>
      <c r="G39" s="192"/>
      <c r="H39" s="192"/>
      <c r="I39" s="193"/>
      <c r="J39" s="193"/>
    </row>
    <row r="40" spans="1:10" s="172" customFormat="1" ht="15" hidden="1" customHeight="1" x14ac:dyDescent="0.25">
      <c r="A40" s="47" t="s">
        <v>127</v>
      </c>
      <c r="B40" s="47"/>
      <c r="C40" s="43" t="s">
        <v>215</v>
      </c>
      <c r="D40" s="173"/>
      <c r="E40" s="173"/>
      <c r="F40" s="174"/>
      <c r="G40" s="175"/>
      <c r="H40" s="175"/>
      <c r="I40" s="176"/>
      <c r="J40" s="176"/>
    </row>
    <row r="41" spans="1:10" ht="33.75" hidden="1" customHeight="1" x14ac:dyDescent="0.25">
      <c r="C41" s="158">
        <v>2</v>
      </c>
      <c r="D41" s="171" t="s">
        <v>216</v>
      </c>
      <c r="E41" s="155" t="s">
        <v>166</v>
      </c>
      <c r="F41" s="155" t="s">
        <v>69</v>
      </c>
      <c r="G41" s="155" t="s">
        <v>70</v>
      </c>
      <c r="H41" s="159" t="s">
        <v>220</v>
      </c>
      <c r="I41" s="182"/>
      <c r="J41" s="182"/>
    </row>
    <row r="42" spans="1:10" ht="15" hidden="1" customHeight="1" x14ac:dyDescent="0.25">
      <c r="D42" s="156" t="s">
        <v>147</v>
      </c>
      <c r="E42" s="162">
        <v>100</v>
      </c>
      <c r="F42" s="157"/>
      <c r="G42" s="157"/>
      <c r="H42" s="169">
        <f>SUM(E42)</f>
        <v>100</v>
      </c>
      <c r="I42" s="182"/>
      <c r="J42" s="182"/>
    </row>
    <row r="43" spans="1:10" ht="15" hidden="1" customHeight="1" x14ac:dyDescent="0.25">
      <c r="D43" s="156" t="s">
        <v>217</v>
      </c>
      <c r="E43" s="162">
        <v>95</v>
      </c>
      <c r="F43" s="162">
        <v>0</v>
      </c>
      <c r="G43" s="162">
        <v>5</v>
      </c>
      <c r="H43" s="169">
        <f>SUM(E43:G43)</f>
        <v>100</v>
      </c>
      <c r="I43" s="182"/>
      <c r="J43" s="182"/>
    </row>
    <row r="44" spans="1:10" ht="15" hidden="1" customHeight="1" x14ac:dyDescent="0.25">
      <c r="D44" s="156" t="s">
        <v>149</v>
      </c>
      <c r="E44" s="162">
        <v>90</v>
      </c>
      <c r="F44" s="162">
        <v>10</v>
      </c>
      <c r="G44" s="157"/>
      <c r="H44" s="169">
        <f>SUM(E44:F44)</f>
        <v>100</v>
      </c>
      <c r="I44" s="182"/>
      <c r="J44" s="182"/>
    </row>
    <row r="45" spans="1:10" ht="15" hidden="1" customHeight="1" x14ac:dyDescent="0.25">
      <c r="D45" s="156" t="s">
        <v>150</v>
      </c>
      <c r="E45" s="157"/>
      <c r="F45" s="162">
        <v>100</v>
      </c>
      <c r="G45" s="157"/>
      <c r="H45" s="169">
        <f>SUM(E45:G45)</f>
        <v>100</v>
      </c>
      <c r="I45" s="182"/>
      <c r="J45" s="182"/>
    </row>
    <row r="46" spans="1:10" ht="15" hidden="1" customHeight="1" x14ac:dyDescent="0.25">
      <c r="D46" s="156" t="s">
        <v>218</v>
      </c>
      <c r="E46" s="162">
        <v>10</v>
      </c>
      <c r="F46" s="162">
        <v>90</v>
      </c>
      <c r="G46" s="157"/>
      <c r="H46" s="169">
        <f>SUM(E46:G46)</f>
        <v>100</v>
      </c>
      <c r="I46" s="182"/>
      <c r="J46" s="182"/>
    </row>
    <row r="47" spans="1:10" ht="15" hidden="1" customHeight="1" x14ac:dyDescent="0.25">
      <c r="D47" s="156" t="s">
        <v>219</v>
      </c>
      <c r="E47" s="162">
        <v>0</v>
      </c>
      <c r="F47" s="162">
        <v>90</v>
      </c>
      <c r="G47" s="162">
        <v>10</v>
      </c>
      <c r="H47" s="169">
        <f>SUM(E47:G47)</f>
        <v>100</v>
      </c>
      <c r="I47" s="182"/>
      <c r="J47" s="182"/>
    </row>
    <row r="48" spans="1:10" ht="15" hidden="1" customHeight="1" x14ac:dyDescent="0.25">
      <c r="D48" s="6"/>
      <c r="E48" s="6"/>
      <c r="F48" s="13"/>
      <c r="G48" s="3"/>
      <c r="H48" s="3"/>
      <c r="I48" s="182"/>
      <c r="J48" s="182"/>
    </row>
    <row r="49" spans="3:14" ht="15" hidden="1" customHeight="1" x14ac:dyDescent="0.25">
      <c r="C49" s="164">
        <v>3</v>
      </c>
      <c r="D49" s="5" t="s">
        <v>229</v>
      </c>
      <c r="E49" s="6"/>
      <c r="F49" s="13"/>
      <c r="G49" s="3"/>
      <c r="H49" s="3"/>
      <c r="I49" s="182"/>
      <c r="J49" s="182"/>
    </row>
    <row r="50" spans="3:14" s="151" customFormat="1" ht="51" hidden="1" customHeight="1" x14ac:dyDescent="0.2">
      <c r="D50" s="165" t="s">
        <v>221</v>
      </c>
      <c r="E50" s="163" t="s">
        <v>206</v>
      </c>
      <c r="F50" s="163" t="s">
        <v>222</v>
      </c>
      <c r="G50" s="163" t="s">
        <v>223</v>
      </c>
      <c r="H50" s="163" t="s">
        <v>224</v>
      </c>
      <c r="I50" s="163" t="s">
        <v>225</v>
      </c>
      <c r="J50" s="163" t="s">
        <v>226</v>
      </c>
      <c r="K50" s="163" t="s">
        <v>227</v>
      </c>
      <c r="L50" s="163" t="s">
        <v>167</v>
      </c>
      <c r="M50" s="163" t="s">
        <v>168</v>
      </c>
      <c r="N50" s="163" t="s">
        <v>228</v>
      </c>
    </row>
    <row r="51" spans="3:14" ht="15" hidden="1" customHeight="1" x14ac:dyDescent="0.25">
      <c r="D51" s="162" t="s">
        <v>147</v>
      </c>
      <c r="E51" s="157"/>
      <c r="F51" s="157"/>
      <c r="G51" s="157"/>
      <c r="H51" s="157"/>
      <c r="I51" s="157"/>
      <c r="J51" s="157"/>
      <c r="K51" s="162">
        <v>5</v>
      </c>
      <c r="L51" s="162">
        <v>20</v>
      </c>
      <c r="M51" s="162">
        <v>75</v>
      </c>
      <c r="N51" s="170">
        <f>SUM(K51:M51)</f>
        <v>100</v>
      </c>
    </row>
    <row r="52" spans="3:14" ht="15" hidden="1" customHeight="1" x14ac:dyDescent="0.25">
      <c r="D52" s="162" t="s">
        <v>217</v>
      </c>
      <c r="E52" s="162">
        <v>5</v>
      </c>
      <c r="F52" s="157"/>
      <c r="G52" s="162">
        <v>5</v>
      </c>
      <c r="H52" s="162">
        <v>10</v>
      </c>
      <c r="I52" s="162">
        <v>30</v>
      </c>
      <c r="J52" s="162">
        <v>50</v>
      </c>
      <c r="K52" s="157"/>
      <c r="L52" s="157"/>
      <c r="M52" s="157"/>
      <c r="N52" s="170">
        <f>SUM(E52,G52:J52)</f>
        <v>100</v>
      </c>
    </row>
    <row r="53" spans="3:14" ht="15" hidden="1" customHeight="1" x14ac:dyDescent="0.25">
      <c r="D53" s="162" t="s">
        <v>149</v>
      </c>
      <c r="E53" s="157"/>
      <c r="F53" s="162">
        <v>100</v>
      </c>
      <c r="G53" s="157"/>
      <c r="H53" s="157"/>
      <c r="I53" s="157"/>
      <c r="J53" s="157"/>
      <c r="K53" s="157"/>
      <c r="L53" s="157"/>
      <c r="M53" s="157"/>
      <c r="N53" s="170">
        <f>SUM(F53)</f>
        <v>100</v>
      </c>
    </row>
    <row r="54" spans="3:14" ht="15" hidden="1" customHeight="1" x14ac:dyDescent="0.25">
      <c r="D54" s="162" t="s">
        <v>150</v>
      </c>
      <c r="E54" s="157"/>
      <c r="F54" s="157"/>
      <c r="G54" s="157"/>
      <c r="H54" s="157"/>
      <c r="I54" s="157"/>
      <c r="J54" s="157"/>
      <c r="K54" s="157"/>
      <c r="L54" s="157"/>
      <c r="M54" s="157"/>
      <c r="N54" s="170">
        <v>0</v>
      </c>
    </row>
    <row r="55" spans="3:14" ht="15" hidden="1" customHeight="1" x14ac:dyDescent="0.25">
      <c r="D55" s="162" t="s">
        <v>218</v>
      </c>
      <c r="E55" s="157"/>
      <c r="F55" s="162">
        <v>100</v>
      </c>
      <c r="G55" s="157"/>
      <c r="H55" s="157"/>
      <c r="I55" s="157"/>
      <c r="J55" s="157"/>
      <c r="K55" s="157"/>
      <c r="L55" s="157"/>
      <c r="M55" s="157"/>
      <c r="N55" s="170">
        <f>SUM(F55)</f>
        <v>100</v>
      </c>
    </row>
    <row r="56" spans="3:14" ht="15" hidden="1" customHeight="1" x14ac:dyDescent="0.25">
      <c r="D56" s="162" t="s">
        <v>219</v>
      </c>
      <c r="E56" s="162">
        <f xml:space="preserve"> [1]Fleet!D34/100 * [1]Calc1!D37</f>
        <v>0</v>
      </c>
      <c r="F56" s="157"/>
      <c r="G56" s="157"/>
      <c r="H56" s="157"/>
      <c r="I56" s="157"/>
      <c r="J56" s="157"/>
      <c r="K56" s="157"/>
      <c r="L56" s="157"/>
      <c r="M56" s="157"/>
      <c r="N56" s="170">
        <f>SUM(E56)</f>
        <v>0</v>
      </c>
    </row>
    <row r="57" spans="3:14" ht="15" hidden="1" customHeight="1" x14ac:dyDescent="0.25">
      <c r="D57" s="5" t="s">
        <v>232</v>
      </c>
      <c r="E57" s="6"/>
      <c r="F57" s="13"/>
      <c r="G57" s="3"/>
      <c r="H57" s="3"/>
      <c r="I57" s="182"/>
      <c r="J57" s="182"/>
    </row>
    <row r="58" spans="3:14" ht="60" hidden="1" customHeight="1" x14ac:dyDescent="0.25">
      <c r="D58" s="160" t="s">
        <v>230</v>
      </c>
      <c r="E58" s="161" t="s">
        <v>222</v>
      </c>
      <c r="F58" s="161" t="s">
        <v>231</v>
      </c>
      <c r="G58" s="3"/>
      <c r="H58" s="3"/>
      <c r="I58" s="182"/>
      <c r="J58" s="182"/>
    </row>
    <row r="59" spans="3:14" ht="15" hidden="1" customHeight="1" x14ac:dyDescent="0.25">
      <c r="D59" s="162" t="s">
        <v>147</v>
      </c>
      <c r="E59" s="157"/>
      <c r="F59" s="169">
        <v>0</v>
      </c>
      <c r="G59" s="3"/>
      <c r="H59" s="3"/>
      <c r="I59" s="182"/>
      <c r="J59" s="182"/>
    </row>
    <row r="60" spans="3:14" ht="15" hidden="1" customHeight="1" x14ac:dyDescent="0.25">
      <c r="D60" s="162" t="s">
        <v>217</v>
      </c>
      <c r="E60" s="162">
        <f xml:space="preserve"> [1]Fleet!D40/100 * [1]Calc1!E33</f>
        <v>0</v>
      </c>
      <c r="F60" s="169">
        <f>SUM(E60)</f>
        <v>0</v>
      </c>
      <c r="G60" s="3"/>
      <c r="H60" s="3"/>
      <c r="I60" s="182"/>
      <c r="J60" s="182"/>
    </row>
    <row r="61" spans="3:14" ht="15" hidden="1" customHeight="1" x14ac:dyDescent="0.25">
      <c r="D61" s="162" t="s">
        <v>149</v>
      </c>
      <c r="E61" s="162">
        <v>100</v>
      </c>
      <c r="F61" s="169">
        <f>SUM(E61)</f>
        <v>100</v>
      </c>
      <c r="G61" s="3"/>
      <c r="H61" s="3"/>
      <c r="I61" s="182"/>
      <c r="J61" s="182"/>
    </row>
    <row r="62" spans="3:14" ht="15" hidden="1" customHeight="1" x14ac:dyDescent="0.25">
      <c r="D62" s="162" t="s">
        <v>150</v>
      </c>
      <c r="E62" s="162">
        <v>100</v>
      </c>
      <c r="F62" s="169">
        <f>SUM(E62)</f>
        <v>100</v>
      </c>
      <c r="G62" s="3"/>
      <c r="H62" s="3"/>
      <c r="I62" s="182"/>
      <c r="J62" s="182"/>
    </row>
    <row r="63" spans="3:14" ht="15" hidden="1" customHeight="1" x14ac:dyDescent="0.25">
      <c r="D63" s="162" t="s">
        <v>218</v>
      </c>
      <c r="E63" s="162">
        <v>100</v>
      </c>
      <c r="F63" s="169">
        <f>SUM(E63)</f>
        <v>100</v>
      </c>
      <c r="G63" s="3"/>
      <c r="H63" s="3"/>
      <c r="I63" s="182"/>
      <c r="J63" s="182"/>
    </row>
    <row r="64" spans="3:14" ht="15" hidden="1" customHeight="1" x14ac:dyDescent="0.25">
      <c r="D64" s="162" t="s">
        <v>219</v>
      </c>
      <c r="E64" s="162">
        <v>100</v>
      </c>
      <c r="F64" s="169">
        <f>SUM(E64)</f>
        <v>100</v>
      </c>
      <c r="G64" s="3"/>
      <c r="H64" s="3"/>
      <c r="I64" s="182"/>
      <c r="J64" s="182"/>
    </row>
    <row r="65" spans="1:11" ht="15" hidden="1" customHeight="1" x14ac:dyDescent="0.25">
      <c r="D65" s="166"/>
      <c r="E65" s="166"/>
      <c r="F65" s="166"/>
      <c r="G65" s="3"/>
      <c r="H65" s="3"/>
      <c r="I65" s="182"/>
      <c r="J65" s="182"/>
    </row>
    <row r="66" spans="1:11" ht="15" hidden="1" customHeight="1" x14ac:dyDescent="0.25">
      <c r="D66" s="5" t="s">
        <v>70</v>
      </c>
      <c r="E66" s="6"/>
      <c r="F66" s="13"/>
      <c r="G66" s="3"/>
      <c r="H66" s="3"/>
      <c r="I66" s="182"/>
      <c r="J66" s="182"/>
    </row>
    <row r="67" spans="1:11" ht="75" hidden="1" customHeight="1" x14ac:dyDescent="0.25">
      <c r="D67" s="167" t="s">
        <v>233</v>
      </c>
      <c r="E67" s="161" t="s">
        <v>206</v>
      </c>
      <c r="F67" s="161" t="s">
        <v>234</v>
      </c>
      <c r="G67" s="161" t="s">
        <v>235</v>
      </c>
      <c r="H67" s="161" t="s">
        <v>236</v>
      </c>
      <c r="I67" s="161" t="s">
        <v>237</v>
      </c>
      <c r="J67" s="161" t="s">
        <v>238</v>
      </c>
      <c r="K67" s="161" t="s">
        <v>239</v>
      </c>
    </row>
    <row r="68" spans="1:11" ht="15" hidden="1" customHeight="1" x14ac:dyDescent="0.25">
      <c r="D68" s="162" t="s">
        <v>147</v>
      </c>
      <c r="E68" s="157"/>
      <c r="F68" s="157"/>
      <c r="G68" s="157"/>
      <c r="H68" s="157"/>
      <c r="I68" s="157"/>
      <c r="J68" s="157"/>
      <c r="K68" s="169">
        <v>0</v>
      </c>
    </row>
    <row r="69" spans="1:11" ht="15" hidden="1" customHeight="1" x14ac:dyDescent="0.25">
      <c r="D69" s="162" t="s">
        <v>217</v>
      </c>
      <c r="E69" s="162">
        <v>50</v>
      </c>
      <c r="F69" s="162">
        <v>50</v>
      </c>
      <c r="G69" s="157"/>
      <c r="H69" s="157"/>
      <c r="I69" s="157"/>
      <c r="J69" s="157"/>
      <c r="K69" s="169">
        <f>SUM(E69:F69)</f>
        <v>100</v>
      </c>
    </row>
    <row r="70" spans="1:11" ht="15" hidden="1" customHeight="1" x14ac:dyDescent="0.25">
      <c r="D70" s="162" t="s">
        <v>149</v>
      </c>
      <c r="E70" s="157"/>
      <c r="F70" s="157"/>
      <c r="G70" s="157"/>
      <c r="H70" s="157"/>
      <c r="I70" s="157"/>
      <c r="J70" s="157"/>
      <c r="K70" s="169">
        <v>0</v>
      </c>
    </row>
    <row r="71" spans="1:11" ht="15" hidden="1" customHeight="1" x14ac:dyDescent="0.25">
      <c r="D71" s="162" t="s">
        <v>150</v>
      </c>
      <c r="E71" s="157"/>
      <c r="F71" s="157"/>
      <c r="G71" s="157"/>
      <c r="H71" s="157"/>
      <c r="I71" s="157"/>
      <c r="J71" s="157"/>
      <c r="K71" s="169">
        <v>0</v>
      </c>
    </row>
    <row r="72" spans="1:11" ht="15" hidden="1" customHeight="1" x14ac:dyDescent="0.25">
      <c r="D72" s="162" t="s">
        <v>218</v>
      </c>
      <c r="E72" s="157"/>
      <c r="F72" s="157"/>
      <c r="G72" s="157"/>
      <c r="H72" s="157"/>
      <c r="I72" s="157"/>
      <c r="J72" s="157"/>
      <c r="K72" s="169">
        <v>0</v>
      </c>
    </row>
    <row r="73" spans="1:11" ht="15" hidden="1" customHeight="1" x14ac:dyDescent="0.25">
      <c r="D73" s="162" t="s">
        <v>219</v>
      </c>
      <c r="E73" s="157"/>
      <c r="F73" s="157"/>
      <c r="G73" s="162">
        <v>50</v>
      </c>
      <c r="H73" s="162">
        <v>40</v>
      </c>
      <c r="I73" s="162">
        <v>0</v>
      </c>
      <c r="J73" s="162">
        <v>10</v>
      </c>
      <c r="K73" s="169">
        <f>SUM(G73:J73)</f>
        <v>100</v>
      </c>
    </row>
    <row r="74" spans="1:11" ht="15" hidden="1" customHeight="1" x14ac:dyDescent="0.25">
      <c r="D74" s="6"/>
      <c r="E74" s="6"/>
      <c r="F74" s="13"/>
      <c r="G74" s="3"/>
      <c r="H74" s="3"/>
      <c r="I74" s="182"/>
      <c r="J74" s="182"/>
    </row>
    <row r="75" spans="1:11" s="43" customFormat="1" ht="15" hidden="1" customHeight="1" x14ac:dyDescent="0.25">
      <c r="A75" s="47" t="s">
        <v>127</v>
      </c>
      <c r="B75" s="47"/>
      <c r="C75" s="43" t="s">
        <v>246</v>
      </c>
      <c r="D75" s="178"/>
      <c r="E75" s="178"/>
      <c r="F75" s="179"/>
      <c r="G75" s="180"/>
      <c r="H75" s="180"/>
      <c r="I75" s="181"/>
      <c r="J75" s="181"/>
    </row>
    <row r="76" spans="1:11" s="177" customFormat="1" x14ac:dyDescent="0.25">
      <c r="A76" s="82"/>
      <c r="B76" s="82"/>
      <c r="D76" s="244"/>
      <c r="E76" s="244"/>
      <c r="F76" s="245"/>
      <c r="G76" s="246"/>
      <c r="H76" s="246"/>
      <c r="I76" s="247"/>
      <c r="J76" s="247"/>
    </row>
    <row r="77" spans="1:11" s="172" customFormat="1" ht="15.75" hidden="1" customHeight="1" thickBot="1" x14ac:dyDescent="0.3">
      <c r="A77" s="249" t="s">
        <v>127</v>
      </c>
      <c r="B77" s="249"/>
      <c r="C77" s="249" t="s">
        <v>244</v>
      </c>
      <c r="D77" s="250"/>
      <c r="E77" s="250"/>
      <c r="F77" s="250"/>
      <c r="G77" s="250"/>
      <c r="H77" s="250"/>
      <c r="I77" s="250"/>
      <c r="J77" s="251"/>
    </row>
    <row r="78" spans="1:11" ht="15" hidden="1" customHeight="1" x14ac:dyDescent="0.25">
      <c r="A78" s="13"/>
      <c r="B78" s="13"/>
      <c r="C78" s="13"/>
      <c r="D78" s="13"/>
      <c r="E78" s="13"/>
      <c r="F78" s="13"/>
      <c r="G78" s="13"/>
      <c r="H78" s="13"/>
      <c r="I78" s="13"/>
      <c r="J78" s="89"/>
    </row>
    <row r="79" spans="1:11" ht="15" hidden="1" customHeight="1" x14ac:dyDescent="0.25">
      <c r="A79" s="83">
        <v>1</v>
      </c>
      <c r="B79" s="83"/>
      <c r="C79" s="446" t="s">
        <v>164</v>
      </c>
      <c r="D79" s="446"/>
      <c r="E79" s="446"/>
      <c r="F79" s="446"/>
      <c r="J79" s="89"/>
    </row>
    <row r="80" spans="1:11" ht="15" hidden="1" customHeight="1" x14ac:dyDescent="0.25">
      <c r="A80" s="448" t="s">
        <v>163</v>
      </c>
      <c r="B80" s="383"/>
      <c r="C80" s="450"/>
      <c r="D80" s="72" t="s">
        <v>147</v>
      </c>
      <c r="E80" s="72" t="s">
        <v>148</v>
      </c>
      <c r="F80" s="72" t="s">
        <v>149</v>
      </c>
      <c r="G80" s="72" t="s">
        <v>150</v>
      </c>
      <c r="H80" s="72" t="s">
        <v>151</v>
      </c>
      <c r="I80" s="72" t="s">
        <v>152</v>
      </c>
      <c r="J80" s="89"/>
    </row>
    <row r="81" spans="1:10" ht="15" hidden="1" customHeight="1" x14ac:dyDescent="0.25">
      <c r="A81" s="449"/>
      <c r="B81" s="384"/>
      <c r="C81" s="451"/>
      <c r="D81" s="2" t="s">
        <v>175</v>
      </c>
      <c r="E81" s="2"/>
      <c r="F81" s="2"/>
      <c r="G81" s="2"/>
      <c r="H81" s="2"/>
      <c r="I81" s="2"/>
      <c r="J81" s="89"/>
    </row>
    <row r="82" spans="1:10" ht="15" hidden="1" customHeight="1" x14ac:dyDescent="0.25">
      <c r="A82" s="88">
        <v>1</v>
      </c>
      <c r="B82" s="88"/>
      <c r="C82" s="88"/>
      <c r="D82" s="92">
        <f t="shared" ref="D82:I92" si="0">$C170*D170</f>
        <v>65.25</v>
      </c>
      <c r="E82" s="92">
        <f t="shared" si="0"/>
        <v>655.4</v>
      </c>
      <c r="F82" s="92">
        <f t="shared" si="0"/>
        <v>384.25</v>
      </c>
      <c r="G82" s="92">
        <f t="shared" si="0"/>
        <v>11.6</v>
      </c>
      <c r="H82" s="92">
        <f t="shared" si="0"/>
        <v>20.3</v>
      </c>
      <c r="I82" s="92">
        <f t="shared" si="0"/>
        <v>1.45</v>
      </c>
      <c r="J82" s="89"/>
    </row>
    <row r="83" spans="1:10" ht="15" hidden="1" customHeight="1" x14ac:dyDescent="0.25">
      <c r="A83" s="88">
        <f>A82+1</f>
        <v>2</v>
      </c>
      <c r="B83" s="88"/>
      <c r="C83" s="88"/>
      <c r="D83" s="92">
        <f t="shared" si="0"/>
        <v>143.54999999999998</v>
      </c>
      <c r="E83" s="92">
        <f t="shared" si="0"/>
        <v>771.4</v>
      </c>
      <c r="F83" s="92">
        <f t="shared" si="0"/>
        <v>481.4</v>
      </c>
      <c r="G83" s="92">
        <f t="shared" si="0"/>
        <v>5.8</v>
      </c>
      <c r="H83" s="92">
        <f t="shared" si="0"/>
        <v>7.25</v>
      </c>
      <c r="I83" s="92">
        <f t="shared" si="0"/>
        <v>4.3499999999999996</v>
      </c>
      <c r="J83" s="89"/>
    </row>
    <row r="84" spans="1:10" ht="15" hidden="1" customHeight="1" x14ac:dyDescent="0.25">
      <c r="A84" s="88">
        <f t="shared" ref="A84:A92" si="1">A83+1</f>
        <v>3</v>
      </c>
      <c r="B84" s="88"/>
      <c r="C84" s="88"/>
      <c r="D84" s="92">
        <f t="shared" si="0"/>
        <v>41.6</v>
      </c>
      <c r="E84" s="92">
        <f t="shared" si="0"/>
        <v>231.04</v>
      </c>
      <c r="F84" s="92">
        <f t="shared" si="0"/>
        <v>107.52</v>
      </c>
      <c r="G84" s="92">
        <f t="shared" si="0"/>
        <v>1.92</v>
      </c>
      <c r="H84" s="92">
        <f t="shared" si="0"/>
        <v>2.56</v>
      </c>
      <c r="I84" s="92">
        <f t="shared" si="0"/>
        <v>0</v>
      </c>
      <c r="J84" s="89"/>
    </row>
    <row r="85" spans="1:10" ht="15" hidden="1" customHeight="1" x14ac:dyDescent="0.25">
      <c r="A85" s="88">
        <f t="shared" si="1"/>
        <v>4</v>
      </c>
      <c r="B85" s="88"/>
      <c r="C85" s="88"/>
      <c r="D85" s="92">
        <f t="shared" si="0"/>
        <v>8.64</v>
      </c>
      <c r="E85" s="92">
        <f t="shared" si="0"/>
        <v>61.6</v>
      </c>
      <c r="F85" s="92">
        <f t="shared" si="0"/>
        <v>25.44</v>
      </c>
      <c r="G85" s="92">
        <f t="shared" si="0"/>
        <v>0.64</v>
      </c>
      <c r="H85" s="92">
        <f t="shared" si="0"/>
        <v>0.8</v>
      </c>
      <c r="I85" s="92">
        <f t="shared" si="0"/>
        <v>0</v>
      </c>
      <c r="J85" s="89"/>
    </row>
    <row r="86" spans="1:10" ht="15" hidden="1" customHeight="1" x14ac:dyDescent="0.25">
      <c r="A86" s="88">
        <f t="shared" si="1"/>
        <v>5</v>
      </c>
      <c r="B86" s="88"/>
      <c r="C86" s="88"/>
      <c r="D86" s="92">
        <f t="shared" si="0"/>
        <v>100.62</v>
      </c>
      <c r="E86" s="92">
        <f t="shared" si="0"/>
        <v>429.57</v>
      </c>
      <c r="F86" s="92">
        <f t="shared" si="0"/>
        <v>170.28</v>
      </c>
      <c r="G86" s="92">
        <f t="shared" si="0"/>
        <v>2.58</v>
      </c>
      <c r="H86" s="92">
        <f t="shared" si="0"/>
        <v>12.9</v>
      </c>
      <c r="I86" s="92">
        <f t="shared" si="0"/>
        <v>6.45</v>
      </c>
      <c r="J86" s="89"/>
    </row>
    <row r="87" spans="1:10" ht="15" hidden="1" customHeight="1" x14ac:dyDescent="0.25">
      <c r="A87" s="88">
        <f t="shared" si="1"/>
        <v>6</v>
      </c>
      <c r="B87" s="88"/>
      <c r="C87" s="88"/>
      <c r="D87" s="92">
        <f t="shared" si="0"/>
        <v>34.56</v>
      </c>
      <c r="E87" s="92">
        <f t="shared" si="0"/>
        <v>161.28</v>
      </c>
      <c r="F87" s="92">
        <f t="shared" si="0"/>
        <v>87.04</v>
      </c>
      <c r="G87" s="92">
        <f t="shared" si="0"/>
        <v>3.2</v>
      </c>
      <c r="H87" s="92">
        <f t="shared" si="0"/>
        <v>5.12</v>
      </c>
      <c r="I87" s="92">
        <f t="shared" si="0"/>
        <v>0.64</v>
      </c>
      <c r="J87" s="89"/>
    </row>
    <row r="88" spans="1:10" ht="15" hidden="1" customHeight="1" x14ac:dyDescent="0.25">
      <c r="A88" s="88">
        <f t="shared" si="1"/>
        <v>7</v>
      </c>
      <c r="B88" s="88"/>
      <c r="C88" s="88"/>
      <c r="D88" s="92">
        <f t="shared" si="0"/>
        <v>90.399999999999991</v>
      </c>
      <c r="E88" s="92">
        <f t="shared" si="0"/>
        <v>636.18999999999994</v>
      </c>
      <c r="F88" s="92">
        <f t="shared" si="0"/>
        <v>515.28</v>
      </c>
      <c r="G88" s="92">
        <f t="shared" si="0"/>
        <v>7.9099999999999993</v>
      </c>
      <c r="H88" s="92">
        <f t="shared" si="0"/>
        <v>4.5199999999999996</v>
      </c>
      <c r="I88" s="92">
        <f t="shared" si="0"/>
        <v>6.7799999999999994</v>
      </c>
      <c r="J88" s="89"/>
    </row>
    <row r="89" spans="1:10" ht="15" hidden="1" customHeight="1" x14ac:dyDescent="0.25">
      <c r="A89" s="88">
        <f t="shared" si="1"/>
        <v>8</v>
      </c>
      <c r="B89" s="88"/>
      <c r="C89" s="88"/>
      <c r="D89" s="92">
        <f t="shared" si="0"/>
        <v>19.09</v>
      </c>
      <c r="E89" s="92">
        <f t="shared" si="0"/>
        <v>103.75</v>
      </c>
      <c r="F89" s="92">
        <f t="shared" si="0"/>
        <v>12.45</v>
      </c>
      <c r="G89" s="92">
        <f t="shared" si="0"/>
        <v>0.83</v>
      </c>
      <c r="H89" s="92">
        <f t="shared" si="0"/>
        <v>1.66</v>
      </c>
      <c r="I89" s="92">
        <f t="shared" si="0"/>
        <v>0.83</v>
      </c>
      <c r="J89" s="89"/>
    </row>
    <row r="90" spans="1:10" ht="15" hidden="1" customHeight="1" x14ac:dyDescent="0.25">
      <c r="A90" s="88">
        <f t="shared" si="1"/>
        <v>9</v>
      </c>
      <c r="B90" s="88"/>
      <c r="C90" s="88"/>
      <c r="D90" s="92">
        <f t="shared" si="0"/>
        <v>58.050000000000004</v>
      </c>
      <c r="E90" s="92">
        <f t="shared" si="0"/>
        <v>1002.33</v>
      </c>
      <c r="F90" s="92">
        <f t="shared" si="0"/>
        <v>42.57</v>
      </c>
      <c r="G90" s="92">
        <f t="shared" si="0"/>
        <v>10.32</v>
      </c>
      <c r="H90" s="92">
        <f t="shared" si="0"/>
        <v>3.87</v>
      </c>
      <c r="I90" s="92">
        <f t="shared" si="0"/>
        <v>1.29</v>
      </c>
      <c r="J90" s="89"/>
    </row>
    <row r="91" spans="1:10" ht="15" hidden="1" customHeight="1" x14ac:dyDescent="0.25">
      <c r="A91" s="88">
        <f t="shared" si="1"/>
        <v>10</v>
      </c>
      <c r="B91" s="88"/>
      <c r="C91" s="88"/>
      <c r="D91" s="92">
        <f t="shared" si="0"/>
        <v>40.669999999999995</v>
      </c>
      <c r="E91" s="92">
        <f t="shared" si="0"/>
        <v>375.99</v>
      </c>
      <c r="F91" s="92">
        <f t="shared" si="0"/>
        <v>114.53999999999999</v>
      </c>
      <c r="G91" s="92">
        <f t="shared" si="0"/>
        <v>5.81</v>
      </c>
      <c r="H91" s="92">
        <f t="shared" si="0"/>
        <v>5.81</v>
      </c>
      <c r="I91" s="92">
        <f t="shared" si="0"/>
        <v>0.83</v>
      </c>
      <c r="J91" s="89"/>
    </row>
    <row r="92" spans="1:10" ht="15" hidden="1" customHeight="1" x14ac:dyDescent="0.25">
      <c r="A92" s="88">
        <f t="shared" si="1"/>
        <v>11</v>
      </c>
      <c r="B92" s="88"/>
      <c r="C92" s="88"/>
      <c r="D92" s="92">
        <f t="shared" si="0"/>
        <v>75.19</v>
      </c>
      <c r="E92" s="92">
        <f t="shared" si="0"/>
        <v>465.56</v>
      </c>
      <c r="F92" s="92">
        <f t="shared" si="0"/>
        <v>236.9</v>
      </c>
      <c r="G92" s="92">
        <f t="shared" si="0"/>
        <v>7.21</v>
      </c>
      <c r="H92" s="92">
        <f t="shared" si="0"/>
        <v>4.12</v>
      </c>
      <c r="I92" s="92">
        <f t="shared" si="0"/>
        <v>1.03</v>
      </c>
      <c r="J92" s="89"/>
    </row>
    <row r="93" spans="1:10" ht="15" hidden="1" customHeight="1" x14ac:dyDescent="0.25">
      <c r="A93" s="216" t="s">
        <v>263</v>
      </c>
      <c r="B93" s="216"/>
      <c r="C93" s="88"/>
      <c r="D93" s="217"/>
      <c r="E93" s="217"/>
      <c r="F93" s="217"/>
      <c r="G93" s="217"/>
      <c r="H93" s="217"/>
      <c r="I93" s="217"/>
      <c r="J93" s="89"/>
    </row>
    <row r="94" spans="1:10" ht="15" hidden="1" customHeight="1" x14ac:dyDescent="0.25">
      <c r="A94" s="13"/>
      <c r="B94" s="13"/>
      <c r="C94" s="20" t="s">
        <v>3</v>
      </c>
      <c r="D94" s="20">
        <f t="shared" ref="D94:I94" si="2">SUM(D82:D93)</f>
        <v>677.61999999999989</v>
      </c>
      <c r="E94" s="20">
        <f t="shared" si="2"/>
        <v>4894.1100000000006</v>
      </c>
      <c r="F94" s="20">
        <f t="shared" si="2"/>
        <v>2177.67</v>
      </c>
      <c r="G94" s="20">
        <f t="shared" si="2"/>
        <v>57.82</v>
      </c>
      <c r="H94" s="20">
        <f t="shared" si="2"/>
        <v>68.91</v>
      </c>
      <c r="I94" s="20">
        <f t="shared" si="2"/>
        <v>23.65</v>
      </c>
      <c r="J94" s="89"/>
    </row>
    <row r="95" spans="1:10" ht="15" hidden="1" customHeight="1" x14ac:dyDescent="0.25">
      <c r="A95" s="13"/>
      <c r="B95" s="13"/>
      <c r="C95" s="20"/>
      <c r="D95" s="20"/>
      <c r="E95" s="20"/>
      <c r="F95" s="20"/>
      <c r="G95" s="20"/>
      <c r="H95" s="20"/>
      <c r="I95" s="20"/>
      <c r="J95" s="89"/>
    </row>
    <row r="96" spans="1:10" ht="15" hidden="1" customHeight="1" x14ac:dyDescent="0.25">
      <c r="J96" s="77"/>
    </row>
    <row r="97" spans="1:10" ht="15" hidden="1" customHeight="1" x14ac:dyDescent="0.25">
      <c r="A97" s="83">
        <v>2</v>
      </c>
      <c r="B97" s="83"/>
      <c r="C97" s="452" t="s">
        <v>180</v>
      </c>
      <c r="D97" s="452"/>
      <c r="E97" s="452"/>
      <c r="F97" s="452"/>
      <c r="H97" s="447" t="s">
        <v>172</v>
      </c>
      <c r="I97" s="447"/>
      <c r="J97" s="447"/>
    </row>
    <row r="98" spans="1:10" ht="15" hidden="1" customHeight="1" x14ac:dyDescent="0.25">
      <c r="A98" s="97"/>
      <c r="B98" s="97"/>
      <c r="C98" s="97"/>
      <c r="D98" s="72" t="s">
        <v>147</v>
      </c>
      <c r="E98" s="72" t="s">
        <v>148</v>
      </c>
      <c r="F98" s="72" t="s">
        <v>149</v>
      </c>
      <c r="G98" s="72" t="s">
        <v>150</v>
      </c>
      <c r="H98" s="72" t="s">
        <v>151</v>
      </c>
      <c r="I98" s="72" t="s">
        <v>152</v>
      </c>
      <c r="J98" s="183"/>
    </row>
    <row r="99" spans="1:10" ht="15" hidden="1" customHeight="1" x14ac:dyDescent="0.25">
      <c r="A99" t="s">
        <v>73</v>
      </c>
      <c r="C99" s="2" t="s">
        <v>165</v>
      </c>
      <c r="D99" s="75">
        <f>D94*$E42/100</f>
        <v>677.61999999999989</v>
      </c>
      <c r="E99" s="75">
        <f>E94*$E43/100</f>
        <v>4649.4045000000006</v>
      </c>
      <c r="F99" s="75">
        <f>F94*$E44/100</f>
        <v>1959.9030000000002</v>
      </c>
      <c r="G99" s="233"/>
      <c r="H99" s="75">
        <f>H94*$E46/100</f>
        <v>6.8909999999999991</v>
      </c>
      <c r="I99" s="233"/>
      <c r="J99" s="77"/>
    </row>
    <row r="100" spans="1:10" ht="15" hidden="1" customHeight="1" x14ac:dyDescent="0.25">
      <c r="C100" s="2" t="s">
        <v>69</v>
      </c>
      <c r="D100" s="233"/>
      <c r="E100" s="233"/>
      <c r="F100" s="75">
        <f>F94*$F44/100</f>
        <v>217.767</v>
      </c>
      <c r="G100" s="75">
        <f>G94*$F45/100</f>
        <v>57.82</v>
      </c>
      <c r="H100" s="75">
        <f>H94*$F46/100</f>
        <v>62.018999999999998</v>
      </c>
      <c r="I100" s="75">
        <f>I94*$F47/100</f>
        <v>21.285</v>
      </c>
      <c r="J100" s="77"/>
    </row>
    <row r="101" spans="1:10" ht="15" hidden="1" customHeight="1" x14ac:dyDescent="0.25">
      <c r="C101" s="2" t="s">
        <v>70</v>
      </c>
      <c r="D101" s="233"/>
      <c r="E101" s="75">
        <f>E94*$G43/100</f>
        <v>244.70550000000003</v>
      </c>
      <c r="F101" s="233"/>
      <c r="G101" s="233"/>
      <c r="H101" s="233"/>
      <c r="I101" s="75">
        <f>I94*$G47/100</f>
        <v>2.3650000000000002</v>
      </c>
      <c r="J101" s="77"/>
    </row>
    <row r="102" spans="1:10" ht="15" hidden="1" customHeight="1" x14ac:dyDescent="0.25">
      <c r="C102" s="16" t="s">
        <v>177</v>
      </c>
      <c r="D102" s="234">
        <f t="shared" ref="D102:I102" si="3">SUM(D99:D101)</f>
        <v>677.61999999999989</v>
      </c>
      <c r="E102" s="234">
        <f t="shared" si="3"/>
        <v>4894.1100000000006</v>
      </c>
      <c r="F102" s="234">
        <f t="shared" si="3"/>
        <v>2177.67</v>
      </c>
      <c r="G102" s="234">
        <f t="shared" si="3"/>
        <v>57.82</v>
      </c>
      <c r="H102" s="234">
        <f t="shared" si="3"/>
        <v>68.91</v>
      </c>
      <c r="I102" s="234">
        <f t="shared" si="3"/>
        <v>23.65</v>
      </c>
      <c r="J102" s="77"/>
    </row>
    <row r="103" spans="1:10" ht="15" hidden="1" customHeight="1" x14ac:dyDescent="0.25">
      <c r="J103" s="77"/>
    </row>
    <row r="104" spans="1:10" ht="48.75" hidden="1" customHeight="1" x14ac:dyDescent="0.25">
      <c r="A104" s="83">
        <v>3</v>
      </c>
      <c r="B104" s="83"/>
      <c r="C104" s="446" t="s">
        <v>179</v>
      </c>
      <c r="D104" s="446"/>
      <c r="E104" s="446"/>
      <c r="F104" s="446"/>
      <c r="H104" s="447" t="s">
        <v>172</v>
      </c>
      <c r="I104" s="447"/>
      <c r="J104" s="447"/>
    </row>
    <row r="105" spans="1:10" ht="15" hidden="1" customHeight="1" x14ac:dyDescent="0.25">
      <c r="A105" s="97"/>
      <c r="B105" s="97"/>
      <c r="C105" s="184"/>
      <c r="D105" s="72" t="s">
        <v>147</v>
      </c>
      <c r="E105" s="72" t="s">
        <v>148</v>
      </c>
      <c r="F105" s="72" t="s">
        <v>149</v>
      </c>
      <c r="G105" s="72" t="s">
        <v>150</v>
      </c>
      <c r="H105" s="72" t="s">
        <v>151</v>
      </c>
      <c r="I105" s="72" t="s">
        <v>152</v>
      </c>
      <c r="J105" s="183"/>
    </row>
    <row r="106" spans="1:10" ht="30.75" hidden="1" customHeight="1" x14ac:dyDescent="0.25">
      <c r="A106" s="97"/>
      <c r="B106" s="97"/>
      <c r="C106" s="184"/>
      <c r="D106" s="201"/>
      <c r="E106" s="202" t="s">
        <v>206</v>
      </c>
      <c r="F106" s="72"/>
      <c r="G106" s="200"/>
      <c r="H106" s="72"/>
      <c r="I106" s="200"/>
      <c r="J106" s="183"/>
    </row>
    <row r="107" spans="1:10" ht="15" hidden="1" customHeight="1" x14ac:dyDescent="0.25">
      <c r="A107" s="97"/>
      <c r="B107" s="97"/>
      <c r="C107" s="184"/>
      <c r="D107" s="201"/>
      <c r="E107" s="232">
        <f>E99*$E52/100</f>
        <v>232.47022500000003</v>
      </c>
      <c r="F107" s="72"/>
      <c r="G107" s="200"/>
      <c r="H107" s="72"/>
      <c r="I107" s="200"/>
      <c r="J107" s="183"/>
    </row>
    <row r="108" spans="1:10" ht="46.5" hidden="1" customHeight="1" x14ac:dyDescent="0.25">
      <c r="A108" s="97"/>
      <c r="B108" s="97"/>
      <c r="C108" s="184"/>
      <c r="D108" s="201"/>
      <c r="E108" s="202" t="s">
        <v>223</v>
      </c>
      <c r="F108" s="72"/>
      <c r="G108" s="200"/>
      <c r="H108" s="72"/>
      <c r="I108" s="200"/>
      <c r="J108" s="183"/>
    </row>
    <row r="109" spans="1:10" ht="15" hidden="1" customHeight="1" x14ac:dyDescent="0.25">
      <c r="A109" s="97"/>
      <c r="B109" s="97"/>
      <c r="C109" s="184"/>
      <c r="D109" s="201"/>
      <c r="E109" s="232">
        <f>E99*$G52/100</f>
        <v>232.47022500000003</v>
      </c>
      <c r="F109" s="72"/>
      <c r="G109" s="200"/>
      <c r="H109" s="72"/>
      <c r="I109" s="200"/>
      <c r="J109" s="183"/>
    </row>
    <row r="110" spans="1:10" ht="36.75" hidden="1" customHeight="1" x14ac:dyDescent="0.25">
      <c r="A110" s="97"/>
      <c r="B110" s="97"/>
      <c r="C110" s="184"/>
      <c r="D110" s="202" t="s">
        <v>227</v>
      </c>
      <c r="E110" s="202" t="s">
        <v>224</v>
      </c>
      <c r="F110" s="72"/>
      <c r="G110" s="200"/>
      <c r="H110" s="72"/>
      <c r="I110" s="200"/>
      <c r="J110" s="183"/>
    </row>
    <row r="111" spans="1:10" ht="21" hidden="1" customHeight="1" x14ac:dyDescent="0.25">
      <c r="A111" s="97"/>
      <c r="B111" s="97"/>
      <c r="C111" s="184"/>
      <c r="D111" s="231">
        <f>D99*$K51/100</f>
        <v>33.880999999999993</v>
      </c>
      <c r="E111" s="232">
        <f>E99*$H52/100</f>
        <v>464.94045000000006</v>
      </c>
      <c r="F111" s="72"/>
      <c r="G111" s="200"/>
      <c r="H111" s="72"/>
      <c r="I111" s="200"/>
      <c r="J111" s="183"/>
    </row>
    <row r="112" spans="1:10" ht="51" hidden="1" customHeight="1" x14ac:dyDescent="0.25">
      <c r="A112" t="s">
        <v>178</v>
      </c>
      <c r="C112" t="s">
        <v>166</v>
      </c>
      <c r="D112" s="84" t="s">
        <v>167</v>
      </c>
      <c r="E112" s="85" t="s">
        <v>169</v>
      </c>
      <c r="F112" s="86" t="s">
        <v>171</v>
      </c>
      <c r="G112" s="94"/>
      <c r="H112" s="86" t="s">
        <v>171</v>
      </c>
      <c r="I112" s="94"/>
      <c r="J112" s="77"/>
    </row>
    <row r="113" spans="1:10" ht="15" hidden="1" customHeight="1" x14ac:dyDescent="0.25">
      <c r="D113" s="225">
        <f>D99*$L51/100</f>
        <v>135.52399999999997</v>
      </c>
      <c r="E113" s="228">
        <f>E99*$I52/100</f>
        <v>1394.8213500000002</v>
      </c>
      <c r="F113" s="229">
        <f>F99*F53/100</f>
        <v>1959.9030000000002</v>
      </c>
      <c r="G113" s="230"/>
      <c r="H113" s="229">
        <f>H99*F55/100</f>
        <v>6.8909999999999991</v>
      </c>
      <c r="I113" s="94"/>
      <c r="J113" s="77"/>
    </row>
    <row r="114" spans="1:10" ht="51" hidden="1" customHeight="1" x14ac:dyDescent="0.25">
      <c r="D114" s="84" t="s">
        <v>168</v>
      </c>
      <c r="E114" s="85" t="s">
        <v>170</v>
      </c>
      <c r="F114" s="94"/>
      <c r="G114" s="94"/>
      <c r="H114" s="94"/>
      <c r="I114" s="94"/>
      <c r="J114" s="77"/>
    </row>
    <row r="115" spans="1:10" ht="15" hidden="1" customHeight="1" x14ac:dyDescent="0.25">
      <c r="D115" s="225">
        <f>D99*$M51/100</f>
        <v>508.21499999999992</v>
      </c>
      <c r="E115" s="226">
        <f>E99*$J52/100</f>
        <v>2324.7022500000003</v>
      </c>
      <c r="F115" s="94"/>
      <c r="G115" s="94"/>
      <c r="H115" s="94"/>
      <c r="I115" s="94"/>
      <c r="J115" s="77"/>
    </row>
    <row r="116" spans="1:10" s="1" customFormat="1" ht="15" hidden="1" customHeight="1" x14ac:dyDescent="0.25">
      <c r="A116" s="219" t="s">
        <v>264</v>
      </c>
      <c r="B116" s="219"/>
      <c r="C116" s="219"/>
      <c r="D116" s="227">
        <f t="shared" ref="D116:I116" si="4">D107+D109+D111+D113+D115</f>
        <v>677.61999999999989</v>
      </c>
      <c r="E116" s="227">
        <f t="shared" si="4"/>
        <v>4649.4045000000006</v>
      </c>
      <c r="F116" s="227">
        <f t="shared" si="4"/>
        <v>1959.9030000000002</v>
      </c>
      <c r="G116" s="227">
        <f t="shared" si="4"/>
        <v>0</v>
      </c>
      <c r="H116" s="227">
        <f t="shared" si="4"/>
        <v>6.8909999999999991</v>
      </c>
      <c r="I116" s="227">
        <f t="shared" si="4"/>
        <v>0</v>
      </c>
      <c r="J116" s="218"/>
    </row>
    <row r="117" spans="1:10" ht="26.25" hidden="1" customHeight="1" x14ac:dyDescent="0.25">
      <c r="C117" t="s">
        <v>69</v>
      </c>
      <c r="D117" s="94"/>
      <c r="E117" s="94"/>
      <c r="F117" s="87" t="s">
        <v>171</v>
      </c>
      <c r="G117" s="87" t="s">
        <v>171</v>
      </c>
      <c r="H117" s="87" t="s">
        <v>171</v>
      </c>
      <c r="I117" s="87" t="s">
        <v>171</v>
      </c>
      <c r="J117" s="77"/>
    </row>
    <row r="118" spans="1:10" ht="15" hidden="1" customHeight="1" x14ac:dyDescent="0.25">
      <c r="D118" s="94"/>
      <c r="E118" s="94"/>
      <c r="F118" s="223">
        <f>F100*$E61/100</f>
        <v>217.767</v>
      </c>
      <c r="G118" s="223">
        <f>G100*$E62/100</f>
        <v>57.82</v>
      </c>
      <c r="H118" s="223">
        <f>H100*$E63/100</f>
        <v>62.018999999999998</v>
      </c>
      <c r="I118" s="223">
        <f>I100*$E64/100</f>
        <v>21.285</v>
      </c>
      <c r="J118" s="77"/>
    </row>
    <row r="119" spans="1:10" ht="15" hidden="1" customHeight="1" x14ac:dyDescent="0.25">
      <c r="A119" s="219" t="s">
        <v>265</v>
      </c>
      <c r="B119" s="219"/>
      <c r="C119" s="219"/>
      <c r="D119" s="220"/>
      <c r="E119" s="220"/>
      <c r="F119" s="222">
        <f>F118</f>
        <v>217.767</v>
      </c>
      <c r="G119" s="222">
        <f>G118</f>
        <v>57.82</v>
      </c>
      <c r="H119" s="222">
        <f>H118</f>
        <v>62.018999999999998</v>
      </c>
      <c r="I119" s="222">
        <f>I118</f>
        <v>21.285</v>
      </c>
      <c r="J119" s="77"/>
    </row>
    <row r="120" spans="1:10" ht="26.25" hidden="1" customHeight="1" x14ac:dyDescent="0.25">
      <c r="C120" t="s">
        <v>70</v>
      </c>
      <c r="D120" s="112"/>
      <c r="E120" s="87" t="s">
        <v>206</v>
      </c>
      <c r="F120" s="112"/>
      <c r="G120" s="112"/>
      <c r="H120" s="112"/>
      <c r="I120" s="112"/>
      <c r="J120" s="77"/>
    </row>
    <row r="121" spans="1:10" ht="15" hidden="1" customHeight="1" x14ac:dyDescent="0.25">
      <c r="D121" s="112"/>
      <c r="E121" s="223">
        <f>E101*$E69/100</f>
        <v>122.35275000000001</v>
      </c>
      <c r="F121" s="112"/>
      <c r="G121" s="112"/>
      <c r="H121" s="112"/>
      <c r="I121" s="112"/>
      <c r="J121" s="77"/>
    </row>
    <row r="122" spans="1:10" ht="26.25" hidden="1" customHeight="1" x14ac:dyDescent="0.25">
      <c r="D122" s="112"/>
      <c r="E122" s="87" t="s">
        <v>207</v>
      </c>
      <c r="F122" s="112"/>
      <c r="G122" s="112"/>
      <c r="H122" s="112"/>
      <c r="I122" s="112"/>
      <c r="J122" s="77"/>
    </row>
    <row r="123" spans="1:10" ht="15" hidden="1" customHeight="1" x14ac:dyDescent="0.25">
      <c r="D123" s="112"/>
      <c r="E123" s="224">
        <f>E101*$F69/100</f>
        <v>122.35275000000001</v>
      </c>
      <c r="F123" s="112"/>
      <c r="G123" s="112"/>
      <c r="H123" s="112"/>
      <c r="I123" s="112"/>
      <c r="J123" s="77"/>
    </row>
    <row r="124" spans="1:10" ht="51.75" hidden="1" customHeight="1" x14ac:dyDescent="0.25">
      <c r="D124" s="112"/>
      <c r="E124" s="209"/>
      <c r="F124" s="112"/>
      <c r="G124" s="112"/>
      <c r="H124" s="112"/>
      <c r="I124" s="87" t="s">
        <v>235</v>
      </c>
      <c r="J124" s="77"/>
    </row>
    <row r="125" spans="1:10" ht="15" hidden="1" customHeight="1" x14ac:dyDescent="0.25">
      <c r="D125" s="112"/>
      <c r="E125" s="209"/>
      <c r="F125" s="112"/>
      <c r="G125" s="112"/>
      <c r="H125" s="112"/>
      <c r="I125" s="223">
        <f>I101*$G73/100</f>
        <v>1.1825000000000001</v>
      </c>
      <c r="J125" s="77"/>
    </row>
    <row r="126" spans="1:10" ht="51.75" hidden="1" customHeight="1" x14ac:dyDescent="0.25">
      <c r="D126" s="112"/>
      <c r="E126" s="209"/>
      <c r="F126" s="112"/>
      <c r="G126" s="112"/>
      <c r="H126" s="112"/>
      <c r="I126" s="87" t="s">
        <v>236</v>
      </c>
      <c r="J126" s="77"/>
    </row>
    <row r="127" spans="1:10" ht="15" hidden="1" customHeight="1" x14ac:dyDescent="0.25">
      <c r="D127" s="112"/>
      <c r="E127" s="209"/>
      <c r="F127" s="112"/>
      <c r="G127" s="112"/>
      <c r="H127" s="112"/>
      <c r="I127" s="223">
        <f>I101*$H73/100</f>
        <v>0.94600000000000006</v>
      </c>
      <c r="J127" s="77"/>
    </row>
    <row r="128" spans="1:10" ht="51.75" hidden="1" customHeight="1" x14ac:dyDescent="0.25">
      <c r="D128" s="112"/>
      <c r="E128" s="209"/>
      <c r="F128" s="112"/>
      <c r="G128" s="112"/>
      <c r="H128" s="112"/>
      <c r="I128" s="87" t="s">
        <v>237</v>
      </c>
      <c r="J128" s="77"/>
    </row>
    <row r="129" spans="1:10" ht="15" hidden="1" customHeight="1" x14ac:dyDescent="0.25">
      <c r="D129" s="112"/>
      <c r="E129" s="209"/>
      <c r="F129" s="112"/>
      <c r="G129" s="112"/>
      <c r="H129" s="112"/>
      <c r="I129" s="223">
        <f>I101*$I73/100</f>
        <v>0</v>
      </c>
      <c r="J129" s="77"/>
    </row>
    <row r="130" spans="1:10" ht="51.75" hidden="1" customHeight="1" x14ac:dyDescent="0.25">
      <c r="D130" s="112"/>
      <c r="E130" s="209"/>
      <c r="F130" s="112"/>
      <c r="G130" s="112"/>
      <c r="H130" s="112"/>
      <c r="I130" s="87" t="s">
        <v>238</v>
      </c>
      <c r="J130" s="77"/>
    </row>
    <row r="131" spans="1:10" ht="15" hidden="1" customHeight="1" x14ac:dyDescent="0.25">
      <c r="D131" s="112"/>
      <c r="E131" s="209"/>
      <c r="F131" s="112"/>
      <c r="G131" s="112"/>
      <c r="H131" s="112"/>
      <c r="I131" s="223">
        <f>I101*$J73/100</f>
        <v>0.23650000000000002</v>
      </c>
      <c r="J131" s="77"/>
    </row>
    <row r="132" spans="1:10" s="1" customFormat="1" ht="15" hidden="1" customHeight="1" x14ac:dyDescent="0.25">
      <c r="A132" s="219" t="s">
        <v>266</v>
      </c>
      <c r="B132" s="219"/>
      <c r="C132" s="219"/>
      <c r="D132" s="222"/>
      <c r="E132" s="221">
        <f>E121+E123</f>
        <v>244.70550000000003</v>
      </c>
      <c r="F132" s="222">
        <f>F131</f>
        <v>0</v>
      </c>
      <c r="G132" s="222">
        <f>G131</f>
        <v>0</v>
      </c>
      <c r="H132" s="222">
        <f>H131</f>
        <v>0</v>
      </c>
      <c r="I132" s="222">
        <f>I125+I127+I129+I131</f>
        <v>2.3650000000000002</v>
      </c>
      <c r="J132" s="218"/>
    </row>
    <row r="133" spans="1:10" ht="34.5" hidden="1" customHeight="1" x14ac:dyDescent="0.25">
      <c r="A133" s="83">
        <v>4</v>
      </c>
      <c r="B133" s="83"/>
      <c r="C133" s="446" t="s">
        <v>181</v>
      </c>
      <c r="D133" s="446"/>
      <c r="E133" s="446"/>
      <c r="F133" s="446"/>
      <c r="J133" s="77"/>
    </row>
    <row r="134" spans="1:10" ht="15" hidden="1" customHeight="1" x14ac:dyDescent="0.25">
      <c r="A134" s="83"/>
      <c r="B134" s="83"/>
      <c r="C134" s="184"/>
      <c r="D134" s="72" t="s">
        <v>147</v>
      </c>
      <c r="E134" s="72" t="s">
        <v>148</v>
      </c>
      <c r="F134" s="72" t="s">
        <v>149</v>
      </c>
      <c r="G134" s="72" t="s">
        <v>150</v>
      </c>
      <c r="H134" s="72" t="s">
        <v>151</v>
      </c>
      <c r="I134" s="72" t="s">
        <v>152</v>
      </c>
      <c r="J134" s="77"/>
    </row>
    <row r="135" spans="1:10" ht="25.5" hidden="1" customHeight="1" x14ac:dyDescent="0.25">
      <c r="A135" s="97"/>
      <c r="B135" s="97"/>
      <c r="C135" s="184"/>
      <c r="D135" s="201"/>
      <c r="E135" s="202" t="s">
        <v>206</v>
      </c>
      <c r="F135" s="201"/>
      <c r="G135" s="203"/>
      <c r="H135" s="201"/>
      <c r="I135" s="203"/>
      <c r="J135" s="77"/>
    </row>
    <row r="136" spans="1:10" ht="15" hidden="1" customHeight="1" x14ac:dyDescent="0.25">
      <c r="A136" s="97"/>
      <c r="B136" s="97"/>
      <c r="C136" s="184"/>
      <c r="D136" s="201"/>
      <c r="E136" s="232">
        <f>E107*$F$21</f>
        <v>63464.371425000005</v>
      </c>
      <c r="F136" s="201"/>
      <c r="G136" s="203"/>
      <c r="H136" s="201"/>
      <c r="I136" s="203"/>
      <c r="J136" s="77"/>
    </row>
    <row r="137" spans="1:10" ht="38.25" hidden="1" customHeight="1" x14ac:dyDescent="0.25">
      <c r="A137" s="97"/>
      <c r="B137" s="97"/>
      <c r="C137" s="184"/>
      <c r="D137" s="201"/>
      <c r="E137" s="202" t="s">
        <v>223</v>
      </c>
      <c r="F137" s="201"/>
      <c r="G137" s="203"/>
      <c r="H137" s="201"/>
      <c r="I137" s="203"/>
      <c r="J137" s="77"/>
    </row>
    <row r="138" spans="1:10" ht="15" hidden="1" customHeight="1" x14ac:dyDescent="0.25">
      <c r="A138" s="97"/>
      <c r="B138" s="97"/>
      <c r="C138" s="184"/>
      <c r="D138" s="201"/>
      <c r="E138" s="232">
        <f>E109*$F$22</f>
        <v>53003.21130000001</v>
      </c>
      <c r="F138" s="201"/>
      <c r="G138" s="203"/>
      <c r="H138" s="201"/>
      <c r="I138" s="203"/>
      <c r="J138" s="77"/>
    </row>
    <row r="139" spans="1:10" ht="38.25" hidden="1" customHeight="1" x14ac:dyDescent="0.25">
      <c r="A139" s="97"/>
      <c r="B139" s="97"/>
      <c r="C139" s="184"/>
      <c r="D139" s="202" t="s">
        <v>227</v>
      </c>
      <c r="E139" s="202" t="s">
        <v>224</v>
      </c>
      <c r="F139" s="201"/>
      <c r="G139" s="203"/>
      <c r="H139" s="201"/>
      <c r="I139" s="203"/>
      <c r="J139" s="77"/>
    </row>
    <row r="140" spans="1:10" ht="15" hidden="1" customHeight="1" x14ac:dyDescent="0.25">
      <c r="A140" s="97"/>
      <c r="B140" s="97"/>
      <c r="C140" s="184"/>
      <c r="D140" s="232">
        <f>D111*$F$18</f>
        <v>2012.5313999999996</v>
      </c>
      <c r="E140" s="232">
        <f>E111*$F$23</f>
        <v>94382.911350000009</v>
      </c>
      <c r="F140" s="201"/>
      <c r="G140" s="203"/>
      <c r="H140" s="201"/>
      <c r="I140" s="203"/>
      <c r="J140" s="77"/>
    </row>
    <row r="141" spans="1:10" ht="51" hidden="1" customHeight="1" x14ac:dyDescent="0.25">
      <c r="A141" t="s">
        <v>178</v>
      </c>
      <c r="C141" t="s">
        <v>166</v>
      </c>
      <c r="D141" s="84" t="s">
        <v>167</v>
      </c>
      <c r="E141" s="85" t="s">
        <v>169</v>
      </c>
      <c r="F141" s="86" t="s">
        <v>171</v>
      </c>
      <c r="G141" s="94"/>
      <c r="H141" s="86" t="s">
        <v>171</v>
      </c>
      <c r="I141" s="94"/>
      <c r="J141" s="77"/>
    </row>
    <row r="142" spans="1:10" ht="15" hidden="1" customHeight="1" x14ac:dyDescent="0.25">
      <c r="D142" s="225">
        <f>D113*$F$19</f>
        <v>13389.771199999997</v>
      </c>
      <c r="E142" s="240">
        <f>E113*$F$24</f>
        <v>269200.52055000002</v>
      </c>
      <c r="F142" s="241">
        <f>F113*$F$28</f>
        <v>644808.08700000006</v>
      </c>
      <c r="G142" s="94"/>
      <c r="H142" s="229">
        <f>H113*$F$31</f>
        <v>2267.1389999999997</v>
      </c>
      <c r="I142" s="94"/>
      <c r="J142" s="77"/>
    </row>
    <row r="143" spans="1:10" ht="51" hidden="1" customHeight="1" x14ac:dyDescent="0.25">
      <c r="D143" s="84" t="s">
        <v>168</v>
      </c>
      <c r="E143" s="85" t="s">
        <v>170</v>
      </c>
      <c r="F143" s="94"/>
      <c r="G143" s="94"/>
      <c r="H143" s="94"/>
      <c r="I143" s="94"/>
      <c r="J143" s="77"/>
    </row>
    <row r="144" spans="1:10" ht="15" hidden="1" customHeight="1" x14ac:dyDescent="0.25">
      <c r="D144" s="235">
        <f>D115*$F$20</f>
        <v>63526.874999999993</v>
      </c>
      <c r="E144" s="242">
        <f>E115*$F$25</f>
        <v>513759.19725000008</v>
      </c>
      <c r="F144" s="94"/>
      <c r="G144" s="94"/>
      <c r="H144" s="94"/>
      <c r="I144" s="94"/>
      <c r="J144" s="77"/>
    </row>
    <row r="145" spans="3:10" ht="39.75" hidden="1" customHeight="1" thickBot="1" x14ac:dyDescent="0.3">
      <c r="C145" s="122" t="s">
        <v>197</v>
      </c>
      <c r="D145" s="236">
        <f>D140+D142+D144</f>
        <v>78929.177599999995</v>
      </c>
      <c r="E145" s="237">
        <f>E136+E138+E140+E142+E144</f>
        <v>993810.21187500015</v>
      </c>
      <c r="F145" s="238">
        <f>F142</f>
        <v>644808.08700000006</v>
      </c>
      <c r="G145" s="238"/>
      <c r="H145" s="238">
        <f>H142</f>
        <v>2267.1389999999997</v>
      </c>
      <c r="I145" s="239"/>
      <c r="J145" s="77"/>
    </row>
    <row r="146" spans="3:10" ht="26.25" hidden="1" customHeight="1" x14ac:dyDescent="0.25">
      <c r="C146" t="s">
        <v>69</v>
      </c>
      <c r="D146" s="94"/>
      <c r="E146" s="94"/>
      <c r="F146" s="117" t="s">
        <v>171</v>
      </c>
      <c r="G146" s="117" t="s">
        <v>171</v>
      </c>
      <c r="H146" s="117" t="s">
        <v>171</v>
      </c>
      <c r="I146" s="117" t="s">
        <v>171</v>
      </c>
      <c r="J146" s="77"/>
    </row>
    <row r="147" spans="3:10" ht="15" hidden="1" customHeight="1" x14ac:dyDescent="0.25">
      <c r="D147" s="94"/>
      <c r="E147" s="94"/>
      <c r="F147" s="118">
        <f>F118*$F$29</f>
        <v>62281.362000000001</v>
      </c>
      <c r="G147" s="118">
        <f>G118*$F$30</f>
        <v>45157.42</v>
      </c>
      <c r="H147" s="118">
        <f>H118*$F$32</f>
        <v>17737.434000000001</v>
      </c>
      <c r="I147" s="118">
        <f>I118*$F$33</f>
        <v>16623.584999999999</v>
      </c>
      <c r="J147" s="77"/>
    </row>
    <row r="148" spans="3:10" ht="39.75" hidden="1" customHeight="1" thickBot="1" x14ac:dyDescent="0.3">
      <c r="C148" s="122" t="s">
        <v>198</v>
      </c>
      <c r="D148" s="205"/>
      <c r="E148" s="206"/>
      <c r="F148" s="128">
        <f>F147</f>
        <v>62281.362000000001</v>
      </c>
      <c r="G148" s="128">
        <f>G147</f>
        <v>45157.42</v>
      </c>
      <c r="H148" s="128">
        <f>H147</f>
        <v>17737.434000000001</v>
      </c>
      <c r="I148" s="129">
        <f>I147</f>
        <v>16623.584999999999</v>
      </c>
      <c r="J148" s="77"/>
    </row>
    <row r="149" spans="3:10" ht="26.25" hidden="1" customHeight="1" x14ac:dyDescent="0.25">
      <c r="C149" t="s">
        <v>70</v>
      </c>
      <c r="D149" s="112"/>
      <c r="E149" s="117" t="s">
        <v>206</v>
      </c>
      <c r="F149" s="112"/>
      <c r="G149" s="112"/>
      <c r="H149" s="112"/>
      <c r="I149" s="112"/>
      <c r="J149" s="77"/>
    </row>
    <row r="150" spans="3:10" ht="15" hidden="1" customHeight="1" x14ac:dyDescent="0.25">
      <c r="D150" s="112"/>
      <c r="E150" s="114">
        <f>E121*$F$26</f>
        <v>46371.692250000007</v>
      </c>
      <c r="F150" s="112"/>
      <c r="G150" s="112"/>
      <c r="H150" s="112"/>
      <c r="I150" s="112"/>
      <c r="J150" s="77"/>
    </row>
    <row r="151" spans="3:10" ht="26.25" hidden="1" customHeight="1" x14ac:dyDescent="0.25">
      <c r="D151" s="112"/>
      <c r="E151" s="87" t="s">
        <v>207</v>
      </c>
      <c r="F151" s="112"/>
      <c r="G151" s="112"/>
      <c r="H151" s="112"/>
      <c r="I151" s="112"/>
      <c r="J151" s="77"/>
    </row>
    <row r="152" spans="3:10" ht="15" hidden="1" customHeight="1" x14ac:dyDescent="0.25">
      <c r="D152" s="112"/>
      <c r="E152" s="121">
        <f>E123*$F$27</f>
        <v>18108.207000000002</v>
      </c>
      <c r="F152" s="112"/>
      <c r="G152" s="112"/>
      <c r="H152" s="112"/>
      <c r="I152" s="112"/>
      <c r="J152" s="77"/>
    </row>
    <row r="153" spans="3:10" ht="51.75" hidden="1" customHeight="1" x14ac:dyDescent="0.25">
      <c r="D153" s="112"/>
      <c r="E153" s="112"/>
      <c r="F153" s="112"/>
      <c r="G153" s="112"/>
      <c r="H153" s="112"/>
      <c r="I153" s="87" t="s">
        <v>235</v>
      </c>
      <c r="J153" s="77"/>
    </row>
    <row r="154" spans="3:10" ht="15" hidden="1" customHeight="1" x14ac:dyDescent="0.25">
      <c r="D154" s="112"/>
      <c r="E154" s="112"/>
      <c r="F154" s="112"/>
      <c r="G154" s="112"/>
      <c r="H154" s="112"/>
      <c r="I154" s="223">
        <f>I125*$F$34</f>
        <v>1312.575</v>
      </c>
      <c r="J154" s="77"/>
    </row>
    <row r="155" spans="3:10" ht="51.75" hidden="1" customHeight="1" x14ac:dyDescent="0.25">
      <c r="D155" s="112"/>
      <c r="E155" s="112"/>
      <c r="F155" s="112"/>
      <c r="G155" s="112"/>
      <c r="H155" s="112"/>
      <c r="I155" s="87" t="s">
        <v>236</v>
      </c>
      <c r="J155" s="77"/>
    </row>
    <row r="156" spans="3:10" ht="15" hidden="1" customHeight="1" x14ac:dyDescent="0.25">
      <c r="D156" s="112"/>
      <c r="E156" s="112"/>
      <c r="F156" s="112"/>
      <c r="G156" s="112"/>
      <c r="H156" s="112"/>
      <c r="I156" s="223">
        <f>I127*$F$35</f>
        <v>579.89800000000002</v>
      </c>
      <c r="J156" s="77"/>
    </row>
    <row r="157" spans="3:10" ht="51.75" hidden="1" customHeight="1" x14ac:dyDescent="0.25">
      <c r="D157" s="112"/>
      <c r="E157" s="112"/>
      <c r="F157" s="112"/>
      <c r="G157" s="112"/>
      <c r="H157" s="112"/>
      <c r="I157" s="87" t="s">
        <v>237</v>
      </c>
      <c r="J157" s="77"/>
    </row>
    <row r="158" spans="3:10" ht="15" hidden="1" customHeight="1" x14ac:dyDescent="0.25">
      <c r="D158" s="112"/>
      <c r="E158" s="112"/>
      <c r="F158" s="112"/>
      <c r="G158" s="112"/>
      <c r="H158" s="112"/>
      <c r="I158" s="223">
        <f>I129*$F$36</f>
        <v>0</v>
      </c>
      <c r="J158" s="77"/>
    </row>
    <row r="159" spans="3:10" ht="51.75" hidden="1" customHeight="1" x14ac:dyDescent="0.25">
      <c r="D159" s="112"/>
      <c r="E159" s="112"/>
      <c r="F159" s="112"/>
      <c r="G159" s="112"/>
      <c r="H159" s="112"/>
      <c r="I159" s="87" t="s">
        <v>238</v>
      </c>
      <c r="J159" s="77"/>
    </row>
    <row r="160" spans="3:10" ht="15" hidden="1" customHeight="1" x14ac:dyDescent="0.25">
      <c r="D160" s="112"/>
      <c r="E160" s="112"/>
      <c r="F160" s="112"/>
      <c r="G160" s="112"/>
      <c r="H160" s="112"/>
      <c r="I160" s="223">
        <f>I131*$F$37</f>
        <v>214.97850000000003</v>
      </c>
      <c r="J160" s="77"/>
    </row>
    <row r="161" spans="1:10" ht="39.75" hidden="1" customHeight="1" thickBot="1" x14ac:dyDescent="0.3">
      <c r="C161" s="122" t="s">
        <v>210</v>
      </c>
      <c r="D161" s="207"/>
      <c r="E161" s="208">
        <f>E150+E152</f>
        <v>64479.899250000009</v>
      </c>
      <c r="F161" s="208"/>
      <c r="G161" s="208"/>
      <c r="H161" s="208"/>
      <c r="I161" s="243">
        <f>I154+I156+I158+I160</f>
        <v>2107.4515000000001</v>
      </c>
      <c r="J161" s="77"/>
    </row>
    <row r="162" spans="1:10" ht="15.75" hidden="1" customHeight="1" thickBot="1" x14ac:dyDescent="0.3">
      <c r="A162" s="101"/>
      <c r="B162" s="101"/>
      <c r="C162" s="101"/>
      <c r="D162" s="101"/>
      <c r="E162" s="101"/>
      <c r="F162" s="101"/>
      <c r="G162" s="101"/>
      <c r="H162" s="101"/>
      <c r="I162" s="101"/>
      <c r="J162" s="105"/>
    </row>
    <row r="163" spans="1:10" s="43" customFormat="1" ht="15" hidden="1" customHeight="1" x14ac:dyDescent="0.25">
      <c r="A163" s="43" t="s">
        <v>127</v>
      </c>
      <c r="C163" s="43" t="s">
        <v>267</v>
      </c>
      <c r="J163" s="248"/>
    </row>
    <row r="164" spans="1:10" ht="15" customHeight="1" x14ac:dyDescent="0.25">
      <c r="J164" s="77"/>
    </row>
    <row r="165" spans="1:10" ht="15.75" thickBot="1" x14ac:dyDescent="0.3">
      <c r="F165" s="294" t="s">
        <v>28</v>
      </c>
    </row>
    <row r="166" spans="1:10" ht="15.75" hidden="1" thickBot="1" x14ac:dyDescent="0.3">
      <c r="A166" s="83">
        <v>0</v>
      </c>
      <c r="B166" s="83"/>
      <c r="C166" s="565" t="s">
        <v>174</v>
      </c>
      <c r="D166" s="565"/>
      <c r="E166" s="565"/>
      <c r="F166" s="565"/>
    </row>
    <row r="167" spans="1:10" ht="15.75" thickTop="1" x14ac:dyDescent="0.25">
      <c r="A167" s="1" t="s">
        <v>262</v>
      </c>
      <c r="B167" s="1"/>
      <c r="E167" s="292" t="s">
        <v>55</v>
      </c>
      <c r="F167" s="338">
        <v>2019</v>
      </c>
    </row>
    <row r="168" spans="1:10" ht="15.75" thickBot="1" x14ac:dyDescent="0.3">
      <c r="A168" s="152" t="s">
        <v>213</v>
      </c>
      <c r="B168" s="419"/>
      <c r="C168" s="73"/>
      <c r="D168" s="73"/>
      <c r="E168" s="73"/>
      <c r="F168" s="339">
        <v>365</v>
      </c>
    </row>
    <row r="169" spans="1:10" ht="16.5" thickTop="1" thickBot="1" x14ac:dyDescent="0.3">
      <c r="A169" s="144" t="s">
        <v>191</v>
      </c>
      <c r="B169" s="144" t="s">
        <v>287</v>
      </c>
      <c r="C169" s="286" t="s">
        <v>192</v>
      </c>
      <c r="D169" s="287" t="s">
        <v>147</v>
      </c>
      <c r="E169" s="287" t="s">
        <v>148</v>
      </c>
      <c r="F169" s="293" t="s">
        <v>149</v>
      </c>
      <c r="G169" s="287" t="s">
        <v>150</v>
      </c>
      <c r="H169" s="287" t="s">
        <v>151</v>
      </c>
      <c r="I169" s="287" t="s">
        <v>152</v>
      </c>
    </row>
    <row r="170" spans="1:10" s="297" customFormat="1" ht="15.75" thickTop="1" x14ac:dyDescent="0.25">
      <c r="A170" s="305">
        <v>1</v>
      </c>
      <c r="B170" s="299" t="s">
        <v>295</v>
      </c>
      <c r="C170" s="306">
        <v>1.45</v>
      </c>
      <c r="D170" s="307">
        <v>45</v>
      </c>
      <c r="E170" s="307">
        <v>452</v>
      </c>
      <c r="F170" s="307">
        <v>265</v>
      </c>
      <c r="G170" s="307">
        <v>8</v>
      </c>
      <c r="H170" s="307">
        <v>14</v>
      </c>
      <c r="I170" s="308">
        <v>1</v>
      </c>
    </row>
    <row r="171" spans="1:10" s="297" customFormat="1" x14ac:dyDescent="0.25">
      <c r="A171" s="305">
        <f>A170+1</f>
        <v>2</v>
      </c>
      <c r="B171" s="299" t="s">
        <v>296</v>
      </c>
      <c r="C171" s="309">
        <v>1.45</v>
      </c>
      <c r="D171" s="299">
        <v>99</v>
      </c>
      <c r="E171" s="299">
        <v>532</v>
      </c>
      <c r="F171" s="299">
        <v>332</v>
      </c>
      <c r="G171" s="299">
        <v>4</v>
      </c>
      <c r="H171" s="299">
        <v>5</v>
      </c>
      <c r="I171" s="310">
        <v>3</v>
      </c>
    </row>
    <row r="172" spans="1:10" s="297" customFormat="1" x14ac:dyDescent="0.25">
      <c r="A172" s="305">
        <f t="shared" ref="A172:A180" si="5">A171+1</f>
        <v>3</v>
      </c>
      <c r="B172" s="299" t="s">
        <v>297</v>
      </c>
      <c r="C172" s="309">
        <v>0.64</v>
      </c>
      <c r="D172" s="299">
        <v>65</v>
      </c>
      <c r="E172" s="299">
        <v>361</v>
      </c>
      <c r="F172" s="299">
        <v>168</v>
      </c>
      <c r="G172" s="299">
        <v>3</v>
      </c>
      <c r="H172" s="299">
        <v>4</v>
      </c>
      <c r="I172" s="310">
        <v>0</v>
      </c>
    </row>
    <row r="173" spans="1:10" s="297" customFormat="1" x14ac:dyDescent="0.25">
      <c r="A173" s="305">
        <f t="shared" si="5"/>
        <v>4</v>
      </c>
      <c r="B173" s="299"/>
      <c r="C173" s="309">
        <v>0.16</v>
      </c>
      <c r="D173" s="299">
        <v>54</v>
      </c>
      <c r="E173" s="299">
        <v>385</v>
      </c>
      <c r="F173" s="299">
        <v>159</v>
      </c>
      <c r="G173" s="299">
        <v>4</v>
      </c>
      <c r="H173" s="299">
        <v>5</v>
      </c>
      <c r="I173" s="310">
        <v>0</v>
      </c>
    </row>
    <row r="174" spans="1:10" s="297" customFormat="1" x14ac:dyDescent="0.25">
      <c r="A174" s="305">
        <f>A173+1</f>
        <v>5</v>
      </c>
      <c r="B174" s="299"/>
      <c r="C174" s="309">
        <v>1.29</v>
      </c>
      <c r="D174" s="299">
        <v>78</v>
      </c>
      <c r="E174" s="299">
        <v>333</v>
      </c>
      <c r="F174" s="299">
        <v>132</v>
      </c>
      <c r="G174" s="299">
        <v>2</v>
      </c>
      <c r="H174" s="299">
        <v>10</v>
      </c>
      <c r="I174" s="310">
        <v>5</v>
      </c>
    </row>
    <row r="175" spans="1:10" s="297" customFormat="1" x14ac:dyDescent="0.25">
      <c r="A175" s="305">
        <f t="shared" si="5"/>
        <v>6</v>
      </c>
      <c r="B175" s="299"/>
      <c r="C175" s="309">
        <v>0.64</v>
      </c>
      <c r="D175" s="299">
        <v>54</v>
      </c>
      <c r="E175" s="299">
        <v>252</v>
      </c>
      <c r="F175" s="299">
        <v>136</v>
      </c>
      <c r="G175" s="299">
        <v>5</v>
      </c>
      <c r="H175" s="299">
        <v>8</v>
      </c>
      <c r="I175" s="310">
        <v>1</v>
      </c>
    </row>
    <row r="176" spans="1:10" s="297" customFormat="1" x14ac:dyDescent="0.25">
      <c r="A176" s="305">
        <f t="shared" si="5"/>
        <v>7</v>
      </c>
      <c r="B176" s="299"/>
      <c r="C176" s="309">
        <v>1.1299999999999999</v>
      </c>
      <c r="D176" s="299">
        <v>80</v>
      </c>
      <c r="E176" s="299">
        <v>563</v>
      </c>
      <c r="F176" s="299">
        <v>456</v>
      </c>
      <c r="G176" s="299">
        <v>7</v>
      </c>
      <c r="H176" s="299">
        <v>4</v>
      </c>
      <c r="I176" s="310">
        <v>6</v>
      </c>
    </row>
    <row r="177" spans="1:10" s="297" customFormat="1" x14ac:dyDescent="0.25">
      <c r="A177" s="305">
        <f>A176+1</f>
        <v>8</v>
      </c>
      <c r="B177" s="299"/>
      <c r="C177" s="309">
        <v>0.83</v>
      </c>
      <c r="D177" s="299">
        <v>23</v>
      </c>
      <c r="E177" s="299">
        <v>125</v>
      </c>
      <c r="F177" s="299">
        <v>15</v>
      </c>
      <c r="G177" s="299">
        <v>1</v>
      </c>
      <c r="H177" s="299">
        <v>2</v>
      </c>
      <c r="I177" s="310">
        <v>1</v>
      </c>
    </row>
    <row r="178" spans="1:10" s="297" customFormat="1" x14ac:dyDescent="0.25">
      <c r="A178" s="305">
        <f t="shared" si="5"/>
        <v>9</v>
      </c>
      <c r="B178" s="299"/>
      <c r="C178" s="309">
        <v>1.29</v>
      </c>
      <c r="D178" s="299">
        <v>45</v>
      </c>
      <c r="E178" s="299">
        <v>777</v>
      </c>
      <c r="F178" s="299">
        <v>33</v>
      </c>
      <c r="G178" s="299">
        <v>8</v>
      </c>
      <c r="H178" s="299">
        <v>3</v>
      </c>
      <c r="I178" s="310">
        <v>1</v>
      </c>
    </row>
    <row r="179" spans="1:10" s="297" customFormat="1" x14ac:dyDescent="0.25">
      <c r="A179" s="305">
        <f t="shared" si="5"/>
        <v>10</v>
      </c>
      <c r="B179" s="299"/>
      <c r="C179" s="309">
        <v>0.83</v>
      </c>
      <c r="D179" s="299">
        <v>49</v>
      </c>
      <c r="E179" s="299">
        <v>453</v>
      </c>
      <c r="F179" s="299">
        <v>138</v>
      </c>
      <c r="G179" s="299">
        <v>7</v>
      </c>
      <c r="H179" s="299">
        <v>7</v>
      </c>
      <c r="I179" s="310">
        <v>1</v>
      </c>
    </row>
    <row r="180" spans="1:10" s="297" customFormat="1" x14ac:dyDescent="0.25">
      <c r="A180" s="305">
        <f t="shared" si="5"/>
        <v>11</v>
      </c>
      <c r="B180" s="299"/>
      <c r="C180" s="309">
        <v>1.03</v>
      </c>
      <c r="D180" s="299">
        <v>73</v>
      </c>
      <c r="E180" s="299">
        <v>452</v>
      </c>
      <c r="F180" s="299">
        <v>230</v>
      </c>
      <c r="G180" s="299">
        <v>7</v>
      </c>
      <c r="H180" s="299">
        <v>4</v>
      </c>
      <c r="I180" s="310">
        <v>1</v>
      </c>
    </row>
    <row r="181" spans="1:10" s="297" customFormat="1" ht="15.75" thickBot="1" x14ac:dyDescent="0.3">
      <c r="A181" s="334" t="s">
        <v>243</v>
      </c>
      <c r="B181" s="420"/>
      <c r="C181" s="335"/>
      <c r="D181" s="336"/>
      <c r="E181" s="336"/>
      <c r="F181" s="336"/>
      <c r="G181" s="336"/>
      <c r="H181" s="336"/>
      <c r="I181" s="337"/>
    </row>
    <row r="182" spans="1:10" s="147" customFormat="1" ht="15" customHeight="1" thickTop="1" x14ac:dyDescent="0.25">
      <c r="C182" s="288"/>
      <c r="D182" s="289" t="s">
        <v>153</v>
      </c>
      <c r="E182" s="290"/>
      <c r="F182" s="290"/>
      <c r="G182" s="290"/>
      <c r="H182" s="290"/>
      <c r="I182" s="291"/>
      <c r="J182" s="199"/>
    </row>
    <row r="183" spans="1:10" x14ac:dyDescent="0.25">
      <c r="C183" s="213" t="s">
        <v>260</v>
      </c>
      <c r="D183" s="213" t="s">
        <v>212</v>
      </c>
      <c r="E183" s="213" t="s">
        <v>212</v>
      </c>
      <c r="F183" s="213" t="s">
        <v>212</v>
      </c>
      <c r="G183" s="213" t="s">
        <v>212</v>
      </c>
      <c r="H183" s="213" t="s">
        <v>212</v>
      </c>
      <c r="I183" s="213" t="s">
        <v>212</v>
      </c>
      <c r="J183" s="199"/>
    </row>
    <row r="184" spans="1:10" x14ac:dyDescent="0.25">
      <c r="C184" s="211"/>
      <c r="D184" s="72" t="s">
        <v>147</v>
      </c>
      <c r="E184" s="72" t="s">
        <v>148</v>
      </c>
      <c r="F184" s="72" t="s">
        <v>149</v>
      </c>
      <c r="G184" s="72" t="s">
        <v>150</v>
      </c>
      <c r="H184" s="72" t="s">
        <v>151</v>
      </c>
      <c r="I184" s="72" t="s">
        <v>152</v>
      </c>
      <c r="J184" s="199"/>
    </row>
    <row r="185" spans="1:10" x14ac:dyDescent="0.25">
      <c r="C185" s="134">
        <f t="shared" ref="C185:I185" si="6">SUM(C170:C181)</f>
        <v>10.739999999999998</v>
      </c>
      <c r="D185" s="134">
        <f t="shared" si="6"/>
        <v>665</v>
      </c>
      <c r="E185" s="134">
        <f t="shared" si="6"/>
        <v>4685</v>
      </c>
      <c r="F185" s="134">
        <f t="shared" si="6"/>
        <v>2064</v>
      </c>
      <c r="G185" s="134">
        <f t="shared" si="6"/>
        <v>56</v>
      </c>
      <c r="H185" s="134">
        <f t="shared" si="6"/>
        <v>66</v>
      </c>
      <c r="I185" s="134">
        <f t="shared" si="6"/>
        <v>20</v>
      </c>
      <c r="J185" s="198"/>
    </row>
    <row r="186" spans="1:10" x14ac:dyDescent="0.25">
      <c r="A186" s="215" t="s">
        <v>261</v>
      </c>
      <c r="B186" s="215"/>
      <c r="C186" s="185"/>
      <c r="D186" s="185"/>
      <c r="E186" s="185"/>
      <c r="F186" s="185"/>
      <c r="G186" s="185"/>
      <c r="H186" s="185"/>
      <c r="I186" s="186"/>
      <c r="J186" s="198"/>
    </row>
    <row r="187" spans="1:10" x14ac:dyDescent="0.25">
      <c r="A187" s="185"/>
      <c r="B187" s="185"/>
      <c r="C187" s="185"/>
      <c r="D187" s="185"/>
      <c r="E187" s="185"/>
      <c r="F187" s="185"/>
      <c r="G187" s="185"/>
      <c r="H187" s="185"/>
      <c r="I187" s="186"/>
      <c r="J187" s="187"/>
    </row>
    <row r="188" spans="1:10" x14ac:dyDescent="0.25">
      <c r="A188" s="537" t="s">
        <v>214</v>
      </c>
      <c r="B188" s="537"/>
      <c r="C188" s="537"/>
      <c r="D188" s="537"/>
      <c r="E188" s="537"/>
      <c r="F188" s="537"/>
      <c r="G188" s="537"/>
      <c r="H188" s="57"/>
      <c r="I188" s="57"/>
      <c r="J188" s="57"/>
    </row>
    <row r="189" spans="1:10" ht="51.75" x14ac:dyDescent="0.25">
      <c r="A189" s="71" t="s">
        <v>55</v>
      </c>
      <c r="B189" s="72" t="s">
        <v>147</v>
      </c>
      <c r="C189" s="72" t="s">
        <v>148</v>
      </c>
      <c r="D189" s="72" t="s">
        <v>149</v>
      </c>
      <c r="E189" s="72" t="s">
        <v>150</v>
      </c>
      <c r="F189" s="72" t="s">
        <v>151</v>
      </c>
      <c r="G189" s="72" t="s">
        <v>152</v>
      </c>
      <c r="H189" s="70" t="s">
        <v>155</v>
      </c>
      <c r="I189" s="70" t="s">
        <v>154</v>
      </c>
    </row>
    <row r="190" spans="1:10" x14ac:dyDescent="0.25">
      <c r="A190" s="11">
        <f>F167</f>
        <v>2019</v>
      </c>
      <c r="B190" s="74">
        <f>($D145+$D148+$D161)/1000000</f>
        <v>7.8929177599999997E-2</v>
      </c>
      <c r="C190" s="74">
        <f>($E145+$E148+$E161)/1000000</f>
        <v>1.058290111125</v>
      </c>
      <c r="D190" s="74">
        <f>($F145+$F148+$F161)/1000000</f>
        <v>0.70708944900000004</v>
      </c>
      <c r="E190" s="74">
        <f>($G$145+$G$148+$G$161)/1000000</f>
        <v>4.5157419999999997E-2</v>
      </c>
      <c r="F190" s="74">
        <f>($H145+$H148+$H161)/1000000</f>
        <v>2.0004573000000001E-2</v>
      </c>
      <c r="G190" s="74">
        <f>($I145+$I148+$I161)/1000000</f>
        <v>1.8731036499999999E-2</v>
      </c>
      <c r="H190" s="74">
        <f>SUM(B190:G190)</f>
        <v>1.928201767225</v>
      </c>
      <c r="I190" s="103"/>
    </row>
    <row r="191" spans="1:10" x14ac:dyDescent="0.25">
      <c r="A191" s="252"/>
      <c r="B191" s="253">
        <f t="shared" ref="B191:G191" si="7">B190*$F168</f>
        <v>28.809149823999999</v>
      </c>
      <c r="C191" s="253">
        <f t="shared" si="7"/>
        <v>386.27589056062504</v>
      </c>
      <c r="D191" s="253">
        <f t="shared" si="7"/>
        <v>258.08764888500002</v>
      </c>
      <c r="E191" s="253">
        <f t="shared" si="7"/>
        <v>16.482458299999998</v>
      </c>
      <c r="F191" s="253">
        <f t="shared" si="7"/>
        <v>7.3016691450000009</v>
      </c>
      <c r="G191" s="253">
        <f t="shared" si="7"/>
        <v>6.8368283224999997</v>
      </c>
      <c r="H191" s="253"/>
      <c r="I191" s="254">
        <f>SUM(B191:G191)</f>
        <v>703.79364503712497</v>
      </c>
    </row>
    <row r="192" spans="1:10" x14ac:dyDescent="0.25">
      <c r="A192" s="99"/>
      <c r="B192" s="99"/>
      <c r="C192" s="99"/>
      <c r="D192" s="99"/>
      <c r="E192" s="99"/>
      <c r="F192" s="99"/>
      <c r="G192" s="99"/>
      <c r="H192" s="99"/>
      <c r="I192" s="99"/>
    </row>
    <row r="193" spans="1:10" x14ac:dyDescent="0.25">
      <c r="A193" s="99"/>
      <c r="B193" s="99"/>
      <c r="C193" s="99"/>
      <c r="D193" s="99"/>
      <c r="E193" s="99"/>
      <c r="F193" s="99"/>
      <c r="G193" s="99"/>
      <c r="H193" s="99"/>
      <c r="I193" s="99"/>
    </row>
    <row r="194" spans="1:10" s="297" customFormat="1" x14ac:dyDescent="0.25">
      <c r="J194"/>
    </row>
    <row r="196" spans="1:10" x14ac:dyDescent="0.25">
      <c r="J196" s="77"/>
    </row>
    <row r="197" spans="1:10" x14ac:dyDescent="0.25">
      <c r="J197" s="77"/>
    </row>
    <row r="198" spans="1:10" x14ac:dyDescent="0.25">
      <c r="J198" s="77"/>
    </row>
    <row r="288" spans="10:10" x14ac:dyDescent="0.25">
      <c r="J288" s="77"/>
    </row>
    <row r="310" ht="15" customHeight="1" x14ac:dyDescent="0.25"/>
  </sheetData>
  <sheetProtection algorithmName="SHA-512" hashValue="vfqAzVo5gsrYGXMOtfVgjDe1KO06o2MMCz4vHX7kTBrCjo3FzvfL9yIJGQAZddH9mUTJscnW1ldGHDs0eVgFYQ==" saltValue="KmRuYbyKjaYwjAoWl28lrw==" spinCount="100000" sheet="1" insertRows="0" selectLockedCells="1"/>
  <protectedRanges>
    <protectedRange sqref="E42 E43:G43 E44:F44 F45 E46:F46 E47:G47" name="Vehicle Fleet Characteristics_1"/>
  </protectedRanges>
  <mergeCells count="11">
    <mergeCell ref="A188:G188"/>
    <mergeCell ref="C9:D9"/>
    <mergeCell ref="C10:G10"/>
    <mergeCell ref="H9:I9"/>
    <mergeCell ref="C166:F166"/>
    <mergeCell ref="A7:B7"/>
    <mergeCell ref="A1:I1"/>
    <mergeCell ref="A3:B3"/>
    <mergeCell ref="A4:B4"/>
    <mergeCell ref="A5:B5"/>
    <mergeCell ref="A6:B6"/>
  </mergeCells>
  <pageMargins left="0.43307086614173229" right="0.23622047244094491" top="0.87009803921568629" bottom="0.74803149606299213" header="0.31496062992125984" footer="0.31496062992125984"/>
  <pageSetup paperSize="9" orientation="portrait" r:id="rId1"/>
  <headerFooter>
    <oddHeader>&amp;LMALAYSIAN GREEN TECHNOLOGY AND CLIMATE CHANGE CORPORATION (MGTC)&amp;RMGTC/DC/REC/LCC-011
Version:  1/ JUNE 2022</oddHeader>
    <oddFooter>&amp;L
&amp;A&amp;R
Page &amp;P of &amp;N</oddFooter>
  </headerFooter>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6BFEA-CBDA-4687-8EB7-39CA71114363}">
  <sheetPr>
    <tabColor rgb="FF3333FF"/>
  </sheetPr>
  <dimension ref="A1:N310"/>
  <sheetViews>
    <sheetView view="pageLayout" zoomScale="85" zoomScaleNormal="100" zoomScalePageLayoutView="85" workbookViewId="0">
      <selection activeCell="H171" sqref="H171"/>
    </sheetView>
  </sheetViews>
  <sheetFormatPr defaultColWidth="9.140625" defaultRowHeight="15" x14ac:dyDescent="0.25"/>
  <cols>
    <col min="1" max="1" width="6.85546875" customWidth="1"/>
    <col min="2" max="2" width="20.7109375" customWidth="1"/>
    <col min="3" max="3" width="10.5703125" customWidth="1"/>
    <col min="4" max="7" width="9.5703125" customWidth="1"/>
    <col min="8" max="9" width="10.140625" customWidth="1"/>
    <col min="10" max="10" width="12.42578125" customWidth="1"/>
  </cols>
  <sheetData>
    <row r="1" spans="1:10" ht="16.5" thickBot="1" x14ac:dyDescent="0.3">
      <c r="A1" s="475" t="s">
        <v>136</v>
      </c>
      <c r="B1" s="476"/>
      <c r="C1" s="476"/>
      <c r="D1" s="476"/>
      <c r="E1" s="476"/>
      <c r="F1" s="476"/>
      <c r="G1" s="476"/>
      <c r="H1" s="476"/>
      <c r="I1" s="477"/>
    </row>
    <row r="2" spans="1:10" ht="6.75" customHeight="1" x14ac:dyDescent="0.25"/>
    <row r="3" spans="1:10" x14ac:dyDescent="0.25">
      <c r="A3" s="470" t="s">
        <v>27</v>
      </c>
      <c r="B3" s="470"/>
      <c r="C3" s="423" t="str">
        <f>'Summary (Main)'!D11</f>
        <v>LCC-Z-B090-XX-XXXX</v>
      </c>
      <c r="D3" s="423"/>
      <c r="E3" s="423"/>
      <c r="F3" s="423"/>
      <c r="G3" s="423"/>
      <c r="H3" s="423"/>
      <c r="I3" s="423"/>
    </row>
    <row r="4" spans="1:10" x14ac:dyDescent="0.25">
      <c r="A4" s="470" t="s">
        <v>78</v>
      </c>
      <c r="B4" s="470"/>
      <c r="C4" s="423" t="str">
        <f>'Summary (Main)'!D12</f>
        <v>MAJLIS PERBANDARAN XXY</v>
      </c>
      <c r="D4" s="423"/>
      <c r="E4" s="423"/>
      <c r="F4" s="423"/>
      <c r="G4" s="423"/>
      <c r="H4" s="423"/>
      <c r="I4" s="423"/>
    </row>
    <row r="5" spans="1:10" x14ac:dyDescent="0.25">
      <c r="A5" s="470" t="s">
        <v>0</v>
      </c>
      <c r="B5" s="470"/>
      <c r="C5" s="423" t="str">
        <f>'Summary (Main)'!D13</f>
        <v>MAJLIS PERBANDARAN XXY</v>
      </c>
      <c r="D5" s="423"/>
      <c r="E5" s="423"/>
      <c r="F5" s="423"/>
      <c r="G5" s="423"/>
      <c r="H5" s="423"/>
      <c r="I5" s="423"/>
    </row>
    <row r="6" spans="1:10" x14ac:dyDescent="0.25">
      <c r="A6" s="470" t="s">
        <v>129</v>
      </c>
      <c r="B6" s="470"/>
      <c r="C6" s="423">
        <f>'Summary (Main)'!D14</f>
        <v>77432</v>
      </c>
      <c r="D6" s="423"/>
      <c r="E6" s="423"/>
      <c r="F6" s="423"/>
      <c r="G6" s="423"/>
      <c r="H6" s="423"/>
      <c r="I6" s="423"/>
    </row>
    <row r="7" spans="1:10" x14ac:dyDescent="0.25">
      <c r="A7" s="470" t="s">
        <v>137</v>
      </c>
      <c r="B7" s="470"/>
      <c r="C7" s="423">
        <f>'Summary (Main)'!D15</f>
        <v>451.36</v>
      </c>
      <c r="D7" s="423"/>
      <c r="E7" s="423"/>
      <c r="F7" s="423"/>
      <c r="G7" s="423"/>
      <c r="H7" s="423"/>
      <c r="I7" s="423"/>
    </row>
    <row r="8" spans="1:10" ht="6.75" customHeight="1" x14ac:dyDescent="0.25">
      <c r="A8" s="5"/>
      <c r="B8" s="5"/>
      <c r="C8" s="5"/>
      <c r="D8" s="5"/>
    </row>
    <row r="9" spans="1:10" x14ac:dyDescent="0.25">
      <c r="A9" s="1" t="s">
        <v>7</v>
      </c>
      <c r="B9" s="1"/>
      <c r="C9" s="580" t="s">
        <v>240</v>
      </c>
      <c r="D9" s="581"/>
      <c r="E9" s="3"/>
      <c r="F9" s="1" t="s">
        <v>12</v>
      </c>
      <c r="G9" s="1"/>
      <c r="H9" s="501" t="s">
        <v>60</v>
      </c>
      <c r="I9" s="502"/>
      <c r="J9" s="194"/>
    </row>
    <row r="10" spans="1:10" x14ac:dyDescent="0.25">
      <c r="A10" s="1" t="s">
        <v>6</v>
      </c>
      <c r="B10" s="1"/>
      <c r="C10" s="582" t="s">
        <v>139</v>
      </c>
      <c r="D10" s="583"/>
      <c r="E10" s="583"/>
      <c r="F10" s="583"/>
      <c r="G10" s="584"/>
    </row>
    <row r="11" spans="1:10" ht="15" hidden="1" customHeight="1" x14ac:dyDescent="0.25">
      <c r="A11" s="190" t="s">
        <v>127</v>
      </c>
      <c r="B11" s="190"/>
      <c r="C11" s="178" t="s">
        <v>245</v>
      </c>
      <c r="D11" s="178"/>
      <c r="E11" s="178"/>
      <c r="F11" s="178"/>
      <c r="G11" s="178"/>
      <c r="H11" s="178"/>
      <c r="I11" s="178"/>
      <c r="J11" s="178"/>
    </row>
    <row r="12" spans="1:10" ht="15" hidden="1" customHeight="1" x14ac:dyDescent="0.25">
      <c r="A12" s="1" t="s">
        <v>9</v>
      </c>
      <c r="B12" s="1"/>
      <c r="D12" t="s">
        <v>68</v>
      </c>
      <c r="F12" s="13">
        <f>'Mobility 2 - Estimate'!G13</f>
        <v>1.92</v>
      </c>
      <c r="G12" t="s">
        <v>71</v>
      </c>
      <c r="I12" s="194" t="s">
        <v>72</v>
      </c>
      <c r="J12" s="194"/>
    </row>
    <row r="13" spans="1:10" ht="15" hidden="1" customHeight="1" x14ac:dyDescent="0.25">
      <c r="D13" t="s">
        <v>69</v>
      </c>
      <c r="F13" s="13">
        <f>'Mobility 2 - Estimate'!G14</f>
        <v>2.74</v>
      </c>
      <c r="G13" t="s">
        <v>71</v>
      </c>
      <c r="I13" s="194" t="s">
        <v>72</v>
      </c>
      <c r="J13" s="194"/>
    </row>
    <row r="14" spans="1:10" ht="15" hidden="1" customHeight="1" x14ac:dyDescent="0.25">
      <c r="D14" t="s">
        <v>70</v>
      </c>
      <c r="F14" s="13">
        <f>'Mobility 2 - Estimate'!G15</f>
        <v>59.19</v>
      </c>
      <c r="G14" t="s">
        <v>81</v>
      </c>
      <c r="I14" s="194" t="s">
        <v>72</v>
      </c>
      <c r="J14" s="194"/>
    </row>
    <row r="15" spans="1:10" ht="15" hidden="1" customHeight="1" x14ac:dyDescent="0.25">
      <c r="D15" t="s">
        <v>61</v>
      </c>
      <c r="F15" s="13">
        <f>'Mobility 2 - Estimate'!G16</f>
        <v>0.18368000000000001</v>
      </c>
      <c r="G15" t="s">
        <v>62</v>
      </c>
      <c r="I15" s="194" t="s">
        <v>63</v>
      </c>
      <c r="J15" s="194"/>
    </row>
    <row r="16" spans="1:10" ht="15" hidden="1" customHeight="1" x14ac:dyDescent="0.25">
      <c r="D16" t="s">
        <v>64</v>
      </c>
      <c r="F16" s="13">
        <f>'Mobility 2 - Estimate'!G17</f>
        <v>0.11529</v>
      </c>
      <c r="G16" t="s">
        <v>62</v>
      </c>
      <c r="I16" s="194" t="s">
        <v>63</v>
      </c>
      <c r="J16" s="194"/>
    </row>
    <row r="17" spans="4:10" ht="15" hidden="1" customHeight="1" x14ac:dyDescent="0.25">
      <c r="D17" t="s">
        <v>65</v>
      </c>
      <c r="F17" s="13">
        <f>'Mobility 2 - Estimate'!G18</f>
        <v>0.79100000000000004</v>
      </c>
      <c r="G17" t="s">
        <v>62</v>
      </c>
      <c r="I17" s="194" t="s">
        <v>66</v>
      </c>
      <c r="J17" s="194"/>
    </row>
    <row r="18" spans="4:10" ht="15" hidden="1" customHeight="1" x14ac:dyDescent="0.25">
      <c r="D18" s="204" t="s">
        <v>250</v>
      </c>
      <c r="E18" s="6"/>
      <c r="F18" s="13">
        <f>'Mobility 2 - Estimate'!G19</f>
        <v>59.4</v>
      </c>
      <c r="G18" s="3" t="s">
        <v>182</v>
      </c>
      <c r="H18" s="3"/>
      <c r="I18" s="182"/>
      <c r="J18" s="182"/>
    </row>
    <row r="19" spans="4:10" ht="15" hidden="1" customHeight="1" x14ac:dyDescent="0.25">
      <c r="D19" s="6" t="s">
        <v>183</v>
      </c>
      <c r="E19" s="6"/>
      <c r="F19" s="13">
        <f>'Mobility 2 - Estimate'!G20</f>
        <v>98.8</v>
      </c>
      <c r="G19" s="3" t="s">
        <v>182</v>
      </c>
      <c r="H19" s="3"/>
      <c r="I19" s="182"/>
      <c r="J19" s="182"/>
    </row>
    <row r="20" spans="4:10" ht="15" hidden="1" customHeight="1" x14ac:dyDescent="0.25">
      <c r="D20" s="6" t="s">
        <v>184</v>
      </c>
      <c r="E20" s="6"/>
      <c r="F20" s="13">
        <f>'Mobility 2 - Estimate'!G21</f>
        <v>125</v>
      </c>
      <c r="G20" s="3" t="s">
        <v>182</v>
      </c>
      <c r="H20" s="3"/>
      <c r="I20" s="182"/>
      <c r="J20" s="182"/>
    </row>
    <row r="21" spans="4:10" ht="15" hidden="1" customHeight="1" x14ac:dyDescent="0.25">
      <c r="D21" s="204" t="s">
        <v>255</v>
      </c>
      <c r="E21" s="6"/>
      <c r="F21" s="13">
        <f>'Mobility 2 - Estimate'!G22</f>
        <v>273</v>
      </c>
      <c r="G21" s="3" t="s">
        <v>182</v>
      </c>
      <c r="H21" s="3"/>
      <c r="I21" s="182"/>
      <c r="J21" s="182"/>
    </row>
    <row r="22" spans="4:10" ht="15" hidden="1" customHeight="1" x14ac:dyDescent="0.25">
      <c r="D22" s="204" t="s">
        <v>254</v>
      </c>
      <c r="E22" s="6"/>
      <c r="F22" s="13">
        <f>'Mobility 2 - Estimate'!G23</f>
        <v>228</v>
      </c>
      <c r="G22" s="3" t="s">
        <v>182</v>
      </c>
      <c r="H22" s="3"/>
      <c r="I22" s="182"/>
      <c r="J22" s="182"/>
    </row>
    <row r="23" spans="4:10" ht="15" hidden="1" customHeight="1" x14ac:dyDescent="0.25">
      <c r="D23" s="204" t="s">
        <v>253</v>
      </c>
      <c r="E23" s="6"/>
      <c r="F23" s="13">
        <f>'Mobility 2 - Estimate'!G24</f>
        <v>203</v>
      </c>
      <c r="G23" s="3" t="s">
        <v>182</v>
      </c>
      <c r="H23" s="3"/>
      <c r="I23" s="182"/>
      <c r="J23" s="182"/>
    </row>
    <row r="24" spans="4:10" ht="15" hidden="1" customHeight="1" x14ac:dyDescent="0.25">
      <c r="D24" s="6" t="s">
        <v>185</v>
      </c>
      <c r="E24" s="6"/>
      <c r="F24" s="13">
        <f>'Mobility 2 - Estimate'!G25</f>
        <v>193</v>
      </c>
      <c r="G24" s="3" t="s">
        <v>182</v>
      </c>
      <c r="H24" s="3"/>
      <c r="I24" s="182"/>
      <c r="J24" s="182"/>
    </row>
    <row r="25" spans="4:10" ht="15" hidden="1" customHeight="1" x14ac:dyDescent="0.25">
      <c r="D25" s="6" t="s">
        <v>186</v>
      </c>
      <c r="E25" s="6"/>
      <c r="F25" s="13">
        <f>'Mobility 2 - Estimate'!G26</f>
        <v>221</v>
      </c>
      <c r="G25" s="3" t="s">
        <v>182</v>
      </c>
      <c r="H25" s="3"/>
      <c r="I25" s="182"/>
      <c r="J25" s="182"/>
    </row>
    <row r="26" spans="4:10" ht="15" hidden="1" customHeight="1" x14ac:dyDescent="0.25">
      <c r="D26" s="113" t="s">
        <v>208</v>
      </c>
      <c r="E26" s="6"/>
      <c r="F26" s="13">
        <f>'Mobility 2 - Estimate'!G27</f>
        <v>379</v>
      </c>
      <c r="G26" s="3" t="s">
        <v>182</v>
      </c>
      <c r="H26" s="3"/>
      <c r="I26" s="182"/>
      <c r="J26" s="182"/>
    </row>
    <row r="27" spans="4:10" ht="15" hidden="1" customHeight="1" x14ac:dyDescent="0.25">
      <c r="D27" s="113" t="s">
        <v>209</v>
      </c>
      <c r="E27" s="6"/>
      <c r="F27" s="13">
        <f>'Mobility 2 - Estimate'!G28</f>
        <v>148</v>
      </c>
      <c r="G27" s="3" t="s">
        <v>182</v>
      </c>
      <c r="H27" s="3"/>
      <c r="I27" s="182"/>
      <c r="J27" s="182"/>
    </row>
    <row r="28" spans="4:10" ht="15" hidden="1" customHeight="1" x14ac:dyDescent="0.25">
      <c r="D28" s="6" t="s">
        <v>187</v>
      </c>
      <c r="E28" s="6"/>
      <c r="F28" s="13">
        <f>'Mobility 2 - Estimate'!G29</f>
        <v>329</v>
      </c>
      <c r="G28" s="3" t="s">
        <v>182</v>
      </c>
      <c r="H28" s="3"/>
      <c r="I28" s="182"/>
      <c r="J28" s="182"/>
    </row>
    <row r="29" spans="4:10" ht="15" hidden="1" customHeight="1" x14ac:dyDescent="0.25">
      <c r="D29" s="113" t="s">
        <v>211</v>
      </c>
      <c r="E29" s="6"/>
      <c r="F29" s="13">
        <f>'Mobility 2 - Estimate'!G30</f>
        <v>286</v>
      </c>
      <c r="G29" s="3" t="s">
        <v>182</v>
      </c>
      <c r="H29" s="3"/>
      <c r="I29" s="182"/>
      <c r="J29" s="182"/>
    </row>
    <row r="30" spans="4:10" ht="15" hidden="1" customHeight="1" x14ac:dyDescent="0.25">
      <c r="D30" s="6" t="s">
        <v>188</v>
      </c>
      <c r="E30" s="6"/>
      <c r="F30" s="13">
        <f>'Mobility 2 - Estimate'!G31</f>
        <v>781</v>
      </c>
      <c r="G30" s="3" t="s">
        <v>182</v>
      </c>
      <c r="H30" s="3"/>
      <c r="I30" s="182"/>
      <c r="J30" s="182"/>
    </row>
    <row r="31" spans="4:10" ht="15" hidden="1" customHeight="1" x14ac:dyDescent="0.25">
      <c r="D31" s="113" t="s">
        <v>205</v>
      </c>
      <c r="E31" s="6"/>
      <c r="F31" s="13">
        <f>'Mobility 2 - Estimate'!G32</f>
        <v>329</v>
      </c>
      <c r="G31" s="3" t="s">
        <v>182</v>
      </c>
      <c r="H31" s="3"/>
      <c r="I31" s="182"/>
      <c r="J31" s="182"/>
    </row>
    <row r="32" spans="4:10" ht="15" hidden="1" customHeight="1" x14ac:dyDescent="0.25">
      <c r="D32" s="6" t="s">
        <v>189</v>
      </c>
      <c r="E32" s="6"/>
      <c r="F32" s="13">
        <f>'Mobility 2 - Estimate'!G33</f>
        <v>286</v>
      </c>
      <c r="G32" s="3" t="s">
        <v>182</v>
      </c>
      <c r="H32" s="3"/>
      <c r="I32" s="182"/>
      <c r="J32" s="182"/>
    </row>
    <row r="33" spans="1:10" ht="15" hidden="1" customHeight="1" x14ac:dyDescent="0.25">
      <c r="D33" s="6" t="s">
        <v>190</v>
      </c>
      <c r="E33" s="6"/>
      <c r="F33" s="13">
        <f>'Mobility 2 - Estimate'!G34</f>
        <v>781</v>
      </c>
      <c r="G33" s="3" t="s">
        <v>182</v>
      </c>
      <c r="H33" s="3"/>
      <c r="I33" s="182"/>
      <c r="J33" s="182"/>
    </row>
    <row r="34" spans="1:10" ht="15" hidden="1" customHeight="1" x14ac:dyDescent="0.25">
      <c r="D34" s="204" t="s">
        <v>256</v>
      </c>
      <c r="E34" s="6"/>
      <c r="F34" s="13">
        <f>'Mobility 2 - Estimate'!G35</f>
        <v>1110</v>
      </c>
      <c r="G34" s="3" t="s">
        <v>182</v>
      </c>
      <c r="H34" s="3"/>
      <c r="I34" s="182"/>
      <c r="J34" s="182"/>
    </row>
    <row r="35" spans="1:10" ht="15" hidden="1" customHeight="1" x14ac:dyDescent="0.25">
      <c r="D35" s="204" t="s">
        <v>257</v>
      </c>
      <c r="E35" s="6"/>
      <c r="F35" s="13">
        <f>'Mobility 2 - Estimate'!G36</f>
        <v>613</v>
      </c>
      <c r="G35" s="3" t="s">
        <v>182</v>
      </c>
      <c r="H35" s="3"/>
      <c r="I35" s="182"/>
      <c r="J35" s="182"/>
    </row>
    <row r="36" spans="1:10" ht="15" hidden="1" customHeight="1" x14ac:dyDescent="0.25">
      <c r="D36" s="204" t="s">
        <v>258</v>
      </c>
      <c r="E36" s="6"/>
      <c r="F36" s="13">
        <f>'Mobility 2 - Estimate'!G37</f>
        <v>1200</v>
      </c>
      <c r="G36" s="3" t="s">
        <v>182</v>
      </c>
      <c r="H36" s="3"/>
      <c r="I36" s="182"/>
      <c r="J36" s="182"/>
    </row>
    <row r="37" spans="1:10" ht="15" hidden="1" customHeight="1" x14ac:dyDescent="0.25">
      <c r="D37" s="204" t="s">
        <v>259</v>
      </c>
      <c r="E37" s="6"/>
      <c r="F37" s="13">
        <f>'Mobility 2 - Estimate'!G38</f>
        <v>909</v>
      </c>
      <c r="G37" s="3" t="s">
        <v>182</v>
      </c>
      <c r="H37" s="3"/>
      <c r="I37" s="182"/>
      <c r="J37" s="182"/>
    </row>
    <row r="38" spans="1:10" ht="14.25" hidden="1" customHeight="1" x14ac:dyDescent="0.25">
      <c r="A38" s="1"/>
      <c r="B38" s="1"/>
      <c r="D38" s="6"/>
      <c r="G38" s="3"/>
      <c r="H38" s="3"/>
      <c r="I38" s="182"/>
      <c r="J38" s="182"/>
    </row>
    <row r="39" spans="1:10" s="189" customFormat="1" ht="15" hidden="1" customHeight="1" x14ac:dyDescent="0.25">
      <c r="A39" s="47" t="s">
        <v>127</v>
      </c>
      <c r="B39" s="47"/>
      <c r="C39" s="43" t="s">
        <v>246</v>
      </c>
      <c r="D39" s="190"/>
      <c r="E39" s="190"/>
      <c r="F39" s="191"/>
      <c r="G39" s="192"/>
      <c r="H39" s="192"/>
      <c r="I39" s="193"/>
      <c r="J39" s="193"/>
    </row>
    <row r="40" spans="1:10" s="172" customFormat="1" ht="15" hidden="1" customHeight="1" x14ac:dyDescent="0.25">
      <c r="A40" s="47" t="s">
        <v>127</v>
      </c>
      <c r="B40" s="47"/>
      <c r="C40" s="43" t="s">
        <v>215</v>
      </c>
      <c r="D40" s="173"/>
      <c r="E40" s="173"/>
      <c r="F40" s="174"/>
      <c r="G40" s="175"/>
      <c r="H40" s="175"/>
      <c r="I40" s="176"/>
      <c r="J40" s="176"/>
    </row>
    <row r="41" spans="1:10" ht="33.75" hidden="1" customHeight="1" x14ac:dyDescent="0.25">
      <c r="C41" s="158">
        <v>2</v>
      </c>
      <c r="D41" s="171" t="s">
        <v>216</v>
      </c>
      <c r="E41" s="155" t="s">
        <v>166</v>
      </c>
      <c r="F41" s="155" t="s">
        <v>69</v>
      </c>
      <c r="G41" s="155" t="s">
        <v>70</v>
      </c>
      <c r="H41" s="159" t="s">
        <v>220</v>
      </c>
      <c r="I41" s="182"/>
      <c r="J41" s="182"/>
    </row>
    <row r="42" spans="1:10" ht="15" hidden="1" customHeight="1" x14ac:dyDescent="0.25">
      <c r="D42" s="156" t="s">
        <v>147</v>
      </c>
      <c r="E42" s="162">
        <v>100</v>
      </c>
      <c r="F42" s="157"/>
      <c r="G42" s="157"/>
      <c r="H42" s="169">
        <f>SUM(E42)</f>
        <v>100</v>
      </c>
      <c r="I42" s="182"/>
      <c r="J42" s="182"/>
    </row>
    <row r="43" spans="1:10" ht="15" hidden="1" customHeight="1" x14ac:dyDescent="0.25">
      <c r="D43" s="156" t="s">
        <v>217</v>
      </c>
      <c r="E43" s="162">
        <v>95</v>
      </c>
      <c r="F43" s="162">
        <v>0</v>
      </c>
      <c r="G43" s="162">
        <v>5</v>
      </c>
      <c r="H43" s="169">
        <f>SUM(E43:G43)</f>
        <v>100</v>
      </c>
      <c r="I43" s="182"/>
      <c r="J43" s="182"/>
    </row>
    <row r="44" spans="1:10" ht="15" hidden="1" customHeight="1" x14ac:dyDescent="0.25">
      <c r="D44" s="156" t="s">
        <v>149</v>
      </c>
      <c r="E44" s="162">
        <v>90</v>
      </c>
      <c r="F44" s="162">
        <v>10</v>
      </c>
      <c r="G44" s="157"/>
      <c r="H44" s="169">
        <f>SUM(E44:F44)</f>
        <v>100</v>
      </c>
      <c r="I44" s="182"/>
      <c r="J44" s="182"/>
    </row>
    <row r="45" spans="1:10" ht="15" hidden="1" customHeight="1" x14ac:dyDescent="0.25">
      <c r="D45" s="156" t="s">
        <v>150</v>
      </c>
      <c r="E45" s="157"/>
      <c r="F45" s="162">
        <v>100</v>
      </c>
      <c r="G45" s="157"/>
      <c r="H45" s="169">
        <f>SUM(E45:G45)</f>
        <v>100</v>
      </c>
      <c r="I45" s="182"/>
      <c r="J45" s="182"/>
    </row>
    <row r="46" spans="1:10" ht="15" hidden="1" customHeight="1" x14ac:dyDescent="0.25">
      <c r="D46" s="156" t="s">
        <v>218</v>
      </c>
      <c r="E46" s="162">
        <v>10</v>
      </c>
      <c r="F46" s="162">
        <v>90</v>
      </c>
      <c r="G46" s="157"/>
      <c r="H46" s="169">
        <f>SUM(E46:G46)</f>
        <v>100</v>
      </c>
      <c r="I46" s="182"/>
      <c r="J46" s="182"/>
    </row>
    <row r="47" spans="1:10" ht="15" hidden="1" customHeight="1" x14ac:dyDescent="0.25">
      <c r="D47" s="156" t="s">
        <v>219</v>
      </c>
      <c r="E47" s="162">
        <v>0</v>
      </c>
      <c r="F47" s="162">
        <v>90</v>
      </c>
      <c r="G47" s="162">
        <v>10</v>
      </c>
      <c r="H47" s="169">
        <f>SUM(E47:G47)</f>
        <v>100</v>
      </c>
      <c r="I47" s="182"/>
      <c r="J47" s="182"/>
    </row>
    <row r="48" spans="1:10" ht="15" hidden="1" customHeight="1" x14ac:dyDescent="0.25">
      <c r="D48" s="6"/>
      <c r="E48" s="6"/>
      <c r="F48" s="13"/>
      <c r="G48" s="3"/>
      <c r="H48" s="3"/>
      <c r="I48" s="182"/>
      <c r="J48" s="182"/>
    </row>
    <row r="49" spans="3:14" ht="15" hidden="1" customHeight="1" x14ac:dyDescent="0.25">
      <c r="C49" s="164">
        <v>3</v>
      </c>
      <c r="D49" s="5" t="s">
        <v>229</v>
      </c>
      <c r="E49" s="6"/>
      <c r="F49" s="13"/>
      <c r="G49" s="3"/>
      <c r="H49" s="3"/>
      <c r="I49" s="182"/>
      <c r="J49" s="182"/>
    </row>
    <row r="50" spans="3:14" s="151" customFormat="1" ht="51" hidden="1" customHeight="1" x14ac:dyDescent="0.2">
      <c r="D50" s="165" t="s">
        <v>221</v>
      </c>
      <c r="E50" s="163" t="s">
        <v>206</v>
      </c>
      <c r="F50" s="163" t="s">
        <v>222</v>
      </c>
      <c r="G50" s="163" t="s">
        <v>223</v>
      </c>
      <c r="H50" s="163" t="s">
        <v>224</v>
      </c>
      <c r="I50" s="163" t="s">
        <v>225</v>
      </c>
      <c r="J50" s="163" t="s">
        <v>226</v>
      </c>
      <c r="K50" s="163" t="s">
        <v>227</v>
      </c>
      <c r="L50" s="163" t="s">
        <v>167</v>
      </c>
      <c r="M50" s="163" t="s">
        <v>168</v>
      </c>
      <c r="N50" s="163" t="s">
        <v>228</v>
      </c>
    </row>
    <row r="51" spans="3:14" ht="15" hidden="1" customHeight="1" x14ac:dyDescent="0.25">
      <c r="D51" s="162" t="s">
        <v>147</v>
      </c>
      <c r="E51" s="157"/>
      <c r="F51" s="157"/>
      <c r="G51" s="157"/>
      <c r="H51" s="157"/>
      <c r="I51" s="157"/>
      <c r="J51" s="157"/>
      <c r="K51" s="162">
        <v>5</v>
      </c>
      <c r="L51" s="162">
        <v>20</v>
      </c>
      <c r="M51" s="162">
        <v>75</v>
      </c>
      <c r="N51" s="170">
        <f>SUM(K51:M51)</f>
        <v>100</v>
      </c>
    </row>
    <row r="52" spans="3:14" ht="15" hidden="1" customHeight="1" x14ac:dyDescent="0.25">
      <c r="D52" s="162" t="s">
        <v>217</v>
      </c>
      <c r="E52" s="162">
        <v>5</v>
      </c>
      <c r="F52" s="157"/>
      <c r="G52" s="162">
        <v>5</v>
      </c>
      <c r="H52" s="162">
        <v>10</v>
      </c>
      <c r="I52" s="162">
        <v>30</v>
      </c>
      <c r="J52" s="162">
        <v>50</v>
      </c>
      <c r="K52" s="157"/>
      <c r="L52" s="157"/>
      <c r="M52" s="157"/>
      <c r="N52" s="170">
        <f>SUM(E52,G52:J52)</f>
        <v>100</v>
      </c>
    </row>
    <row r="53" spans="3:14" ht="15" hidden="1" customHeight="1" x14ac:dyDescent="0.25">
      <c r="D53" s="162" t="s">
        <v>149</v>
      </c>
      <c r="E53" s="157"/>
      <c r="F53" s="162">
        <v>100</v>
      </c>
      <c r="G53" s="157"/>
      <c r="H53" s="157"/>
      <c r="I53" s="157"/>
      <c r="J53" s="157"/>
      <c r="K53" s="157"/>
      <c r="L53" s="157"/>
      <c r="M53" s="157"/>
      <c r="N53" s="170">
        <f>SUM(F53)</f>
        <v>100</v>
      </c>
    </row>
    <row r="54" spans="3:14" ht="15" hidden="1" customHeight="1" x14ac:dyDescent="0.25">
      <c r="D54" s="162" t="s">
        <v>150</v>
      </c>
      <c r="E54" s="157"/>
      <c r="F54" s="157"/>
      <c r="G54" s="157"/>
      <c r="H54" s="157"/>
      <c r="I54" s="157"/>
      <c r="J54" s="157"/>
      <c r="K54" s="157"/>
      <c r="L54" s="157"/>
      <c r="M54" s="157"/>
      <c r="N54" s="170">
        <v>0</v>
      </c>
    </row>
    <row r="55" spans="3:14" ht="15" hidden="1" customHeight="1" x14ac:dyDescent="0.25">
      <c r="D55" s="162" t="s">
        <v>218</v>
      </c>
      <c r="E55" s="157"/>
      <c r="F55" s="162">
        <v>100</v>
      </c>
      <c r="G55" s="157"/>
      <c r="H55" s="157"/>
      <c r="I55" s="157"/>
      <c r="J55" s="157"/>
      <c r="K55" s="157"/>
      <c r="L55" s="157"/>
      <c r="M55" s="157"/>
      <c r="N55" s="170">
        <f>SUM(F55)</f>
        <v>100</v>
      </c>
    </row>
    <row r="56" spans="3:14" ht="15" hidden="1" customHeight="1" x14ac:dyDescent="0.25">
      <c r="D56" s="162" t="s">
        <v>219</v>
      </c>
      <c r="E56" s="162">
        <f xml:space="preserve"> [1]Fleet!D34/100 * [1]Calc1!D37</f>
        <v>0</v>
      </c>
      <c r="F56" s="157"/>
      <c r="G56" s="157"/>
      <c r="H56" s="157"/>
      <c r="I56" s="157"/>
      <c r="J56" s="157"/>
      <c r="K56" s="157"/>
      <c r="L56" s="157"/>
      <c r="M56" s="157"/>
      <c r="N56" s="170">
        <f>SUM(E56)</f>
        <v>0</v>
      </c>
    </row>
    <row r="57" spans="3:14" ht="15" hidden="1" customHeight="1" x14ac:dyDescent="0.25">
      <c r="D57" s="5" t="s">
        <v>232</v>
      </c>
      <c r="E57" s="6"/>
      <c r="F57" s="13"/>
      <c r="G57" s="3"/>
      <c r="H57" s="3"/>
      <c r="I57" s="182"/>
      <c r="J57" s="182"/>
    </row>
    <row r="58" spans="3:14" ht="60" hidden="1" customHeight="1" x14ac:dyDescent="0.25">
      <c r="D58" s="160" t="s">
        <v>230</v>
      </c>
      <c r="E58" s="161" t="s">
        <v>222</v>
      </c>
      <c r="F58" s="161" t="s">
        <v>231</v>
      </c>
      <c r="G58" s="3"/>
      <c r="H58" s="3"/>
      <c r="I58" s="182"/>
      <c r="J58" s="182"/>
    </row>
    <row r="59" spans="3:14" ht="15" hidden="1" customHeight="1" x14ac:dyDescent="0.25">
      <c r="D59" s="162" t="s">
        <v>147</v>
      </c>
      <c r="E59" s="157"/>
      <c r="F59" s="169">
        <v>0</v>
      </c>
      <c r="G59" s="3"/>
      <c r="H59" s="3"/>
      <c r="I59" s="182"/>
      <c r="J59" s="182"/>
    </row>
    <row r="60" spans="3:14" ht="15" hidden="1" customHeight="1" x14ac:dyDescent="0.25">
      <c r="D60" s="162" t="s">
        <v>217</v>
      </c>
      <c r="E60" s="162">
        <f xml:space="preserve"> [1]Fleet!D40/100 * [1]Calc1!E33</f>
        <v>0</v>
      </c>
      <c r="F60" s="169">
        <f>SUM(E60)</f>
        <v>0</v>
      </c>
      <c r="G60" s="3"/>
      <c r="H60" s="3"/>
      <c r="I60" s="182"/>
      <c r="J60" s="182"/>
    </row>
    <row r="61" spans="3:14" ht="15" hidden="1" customHeight="1" x14ac:dyDescent="0.25">
      <c r="D61" s="162" t="s">
        <v>149</v>
      </c>
      <c r="E61" s="162">
        <v>100</v>
      </c>
      <c r="F61" s="169">
        <f>SUM(E61)</f>
        <v>100</v>
      </c>
      <c r="G61" s="3"/>
      <c r="H61" s="3"/>
      <c r="I61" s="182"/>
      <c r="J61" s="182"/>
    </row>
    <row r="62" spans="3:14" ht="15" hidden="1" customHeight="1" x14ac:dyDescent="0.25">
      <c r="D62" s="162" t="s">
        <v>150</v>
      </c>
      <c r="E62" s="162">
        <v>100</v>
      </c>
      <c r="F62" s="169">
        <f>SUM(E62)</f>
        <v>100</v>
      </c>
      <c r="G62" s="3"/>
      <c r="H62" s="3"/>
      <c r="I62" s="182"/>
      <c r="J62" s="182"/>
    </row>
    <row r="63" spans="3:14" ht="15" hidden="1" customHeight="1" x14ac:dyDescent="0.25">
      <c r="D63" s="162" t="s">
        <v>218</v>
      </c>
      <c r="E63" s="162">
        <v>100</v>
      </c>
      <c r="F63" s="169">
        <f>SUM(E63)</f>
        <v>100</v>
      </c>
      <c r="G63" s="3"/>
      <c r="H63" s="3"/>
      <c r="I63" s="182"/>
      <c r="J63" s="182"/>
    </row>
    <row r="64" spans="3:14" ht="15" hidden="1" customHeight="1" x14ac:dyDescent="0.25">
      <c r="D64" s="162" t="s">
        <v>219</v>
      </c>
      <c r="E64" s="162">
        <v>100</v>
      </c>
      <c r="F64" s="169">
        <f>SUM(E64)</f>
        <v>100</v>
      </c>
      <c r="G64" s="3"/>
      <c r="H64" s="3"/>
      <c r="I64" s="182"/>
      <c r="J64" s="182"/>
    </row>
    <row r="65" spans="1:11" ht="15" hidden="1" customHeight="1" x14ac:dyDescent="0.25">
      <c r="D65" s="166"/>
      <c r="E65" s="166"/>
      <c r="F65" s="166"/>
      <c r="G65" s="3"/>
      <c r="H65" s="3"/>
      <c r="I65" s="182"/>
      <c r="J65" s="182"/>
    </row>
    <row r="66" spans="1:11" ht="15" hidden="1" customHeight="1" x14ac:dyDescent="0.25">
      <c r="D66" s="5" t="s">
        <v>70</v>
      </c>
      <c r="E66" s="6"/>
      <c r="F66" s="13"/>
      <c r="G66" s="3"/>
      <c r="H66" s="3"/>
      <c r="I66" s="182"/>
      <c r="J66" s="182"/>
    </row>
    <row r="67" spans="1:11" ht="75" hidden="1" customHeight="1" x14ac:dyDescent="0.25">
      <c r="D67" s="167" t="s">
        <v>233</v>
      </c>
      <c r="E67" s="161" t="s">
        <v>206</v>
      </c>
      <c r="F67" s="161" t="s">
        <v>234</v>
      </c>
      <c r="G67" s="161" t="s">
        <v>235</v>
      </c>
      <c r="H67" s="161" t="s">
        <v>236</v>
      </c>
      <c r="I67" s="161" t="s">
        <v>237</v>
      </c>
      <c r="J67" s="161" t="s">
        <v>238</v>
      </c>
      <c r="K67" s="161" t="s">
        <v>239</v>
      </c>
    </row>
    <row r="68" spans="1:11" ht="15" hidden="1" customHeight="1" x14ac:dyDescent="0.25">
      <c r="D68" s="162" t="s">
        <v>147</v>
      </c>
      <c r="E68" s="157"/>
      <c r="F68" s="157"/>
      <c r="G68" s="157"/>
      <c r="H68" s="157"/>
      <c r="I68" s="157"/>
      <c r="J68" s="157"/>
      <c r="K68" s="169">
        <v>0</v>
      </c>
    </row>
    <row r="69" spans="1:11" ht="15" hidden="1" customHeight="1" x14ac:dyDescent="0.25">
      <c r="D69" s="162" t="s">
        <v>217</v>
      </c>
      <c r="E69" s="162">
        <v>50</v>
      </c>
      <c r="F69" s="162">
        <v>50</v>
      </c>
      <c r="G69" s="157"/>
      <c r="H69" s="157"/>
      <c r="I69" s="157"/>
      <c r="J69" s="157"/>
      <c r="K69" s="169">
        <f>SUM(E69:F69)</f>
        <v>100</v>
      </c>
    </row>
    <row r="70" spans="1:11" ht="15" hidden="1" customHeight="1" x14ac:dyDescent="0.25">
      <c r="D70" s="162" t="s">
        <v>149</v>
      </c>
      <c r="E70" s="157"/>
      <c r="F70" s="157"/>
      <c r="G70" s="157"/>
      <c r="H70" s="157"/>
      <c r="I70" s="157"/>
      <c r="J70" s="157"/>
      <c r="K70" s="169">
        <v>0</v>
      </c>
    </row>
    <row r="71" spans="1:11" ht="15" hidden="1" customHeight="1" x14ac:dyDescent="0.25">
      <c r="D71" s="162" t="s">
        <v>150</v>
      </c>
      <c r="E71" s="157"/>
      <c r="F71" s="157"/>
      <c r="G71" s="157"/>
      <c r="H71" s="157"/>
      <c r="I71" s="157"/>
      <c r="J71" s="157"/>
      <c r="K71" s="169">
        <v>0</v>
      </c>
    </row>
    <row r="72" spans="1:11" ht="15" hidden="1" customHeight="1" x14ac:dyDescent="0.25">
      <c r="D72" s="162" t="s">
        <v>218</v>
      </c>
      <c r="E72" s="157"/>
      <c r="F72" s="157"/>
      <c r="G72" s="157"/>
      <c r="H72" s="157"/>
      <c r="I72" s="157"/>
      <c r="J72" s="157"/>
      <c r="K72" s="169">
        <v>0</v>
      </c>
    </row>
    <row r="73" spans="1:11" ht="15" hidden="1" customHeight="1" x14ac:dyDescent="0.25">
      <c r="D73" s="162" t="s">
        <v>219</v>
      </c>
      <c r="E73" s="157"/>
      <c r="F73" s="157"/>
      <c r="G73" s="162">
        <v>50</v>
      </c>
      <c r="H73" s="162">
        <v>40</v>
      </c>
      <c r="I73" s="162">
        <v>0</v>
      </c>
      <c r="J73" s="162">
        <v>10</v>
      </c>
      <c r="K73" s="169">
        <f>SUM(G73:J73)</f>
        <v>100</v>
      </c>
    </row>
    <row r="74" spans="1:11" ht="15" hidden="1" customHeight="1" x14ac:dyDescent="0.25">
      <c r="D74" s="6"/>
      <c r="E74" s="6"/>
      <c r="F74" s="13"/>
      <c r="G74" s="3"/>
      <c r="H74" s="3"/>
      <c r="I74" s="182"/>
      <c r="J74" s="182"/>
    </row>
    <row r="75" spans="1:11" s="43" customFormat="1" ht="15" hidden="1" customHeight="1" x14ac:dyDescent="0.25">
      <c r="A75" s="47" t="s">
        <v>127</v>
      </c>
      <c r="B75" s="47"/>
      <c r="C75" s="43" t="s">
        <v>246</v>
      </c>
      <c r="D75" s="178"/>
      <c r="E75" s="178"/>
      <c r="F75" s="179"/>
      <c r="G75" s="180"/>
      <c r="H75" s="180"/>
      <c r="I75" s="181"/>
      <c r="J75" s="181"/>
    </row>
    <row r="76" spans="1:11" s="177" customFormat="1" x14ac:dyDescent="0.25">
      <c r="A76" s="82"/>
      <c r="B76" s="82"/>
      <c r="D76" s="244"/>
      <c r="E76" s="244"/>
      <c r="F76" s="245"/>
      <c r="G76" s="246"/>
      <c r="H76" s="246"/>
      <c r="I76" s="247"/>
      <c r="J76" s="247"/>
    </row>
    <row r="77" spans="1:11" s="172" customFormat="1" ht="15.75" hidden="1" customHeight="1" thickBot="1" x14ac:dyDescent="0.3">
      <c r="A77" s="249" t="s">
        <v>127</v>
      </c>
      <c r="B77" s="249"/>
      <c r="C77" s="249" t="s">
        <v>244</v>
      </c>
      <c r="D77" s="250"/>
      <c r="E77" s="250"/>
      <c r="F77" s="250"/>
      <c r="G77" s="250"/>
      <c r="H77" s="250"/>
      <c r="I77" s="250"/>
      <c r="J77" s="251"/>
    </row>
    <row r="78" spans="1:11" ht="15" hidden="1" customHeight="1" x14ac:dyDescent="0.25">
      <c r="A78" s="13"/>
      <c r="B78" s="13"/>
      <c r="C78" s="13"/>
      <c r="D78" s="13"/>
      <c r="E78" s="13"/>
      <c r="F78" s="13"/>
      <c r="G78" s="13"/>
      <c r="H78" s="13"/>
      <c r="I78" s="13"/>
      <c r="J78" s="89"/>
    </row>
    <row r="79" spans="1:11" ht="15" hidden="1" customHeight="1" x14ac:dyDescent="0.25">
      <c r="A79" s="83">
        <v>1</v>
      </c>
      <c r="B79" s="83"/>
      <c r="C79" s="446" t="s">
        <v>164</v>
      </c>
      <c r="D79" s="446"/>
      <c r="E79" s="446"/>
      <c r="F79" s="446"/>
      <c r="J79" s="89"/>
    </row>
    <row r="80" spans="1:11" ht="15" hidden="1" customHeight="1" x14ac:dyDescent="0.25">
      <c r="A80" s="448" t="s">
        <v>163</v>
      </c>
      <c r="B80" s="383"/>
      <c r="C80" s="450"/>
      <c r="D80" s="72" t="s">
        <v>147</v>
      </c>
      <c r="E80" s="72" t="s">
        <v>148</v>
      </c>
      <c r="F80" s="72" t="s">
        <v>149</v>
      </c>
      <c r="G80" s="72" t="s">
        <v>150</v>
      </c>
      <c r="H80" s="72" t="s">
        <v>151</v>
      </c>
      <c r="I80" s="72" t="s">
        <v>152</v>
      </c>
      <c r="J80" s="89"/>
    </row>
    <row r="81" spans="1:10" ht="15" hidden="1" customHeight="1" x14ac:dyDescent="0.25">
      <c r="A81" s="449"/>
      <c r="B81" s="384"/>
      <c r="C81" s="451"/>
      <c r="D81" s="2" t="s">
        <v>175</v>
      </c>
      <c r="E81" s="2"/>
      <c r="F81" s="2"/>
      <c r="G81" s="2"/>
      <c r="H81" s="2"/>
      <c r="I81" s="2"/>
      <c r="J81" s="89"/>
    </row>
    <row r="82" spans="1:10" ht="15" hidden="1" customHeight="1" x14ac:dyDescent="0.25">
      <c r="A82" s="88">
        <v>1</v>
      </c>
      <c r="B82" s="88"/>
      <c r="C82" s="88"/>
      <c r="D82" s="92">
        <f t="shared" ref="D82:I92" si="0">$C170*D170</f>
        <v>65.25</v>
      </c>
      <c r="E82" s="92">
        <f t="shared" si="0"/>
        <v>655.4</v>
      </c>
      <c r="F82" s="92">
        <f t="shared" si="0"/>
        <v>384.25</v>
      </c>
      <c r="G82" s="92">
        <f t="shared" si="0"/>
        <v>11.6</v>
      </c>
      <c r="H82" s="92">
        <f t="shared" si="0"/>
        <v>20.3</v>
      </c>
      <c r="I82" s="92">
        <f t="shared" si="0"/>
        <v>1.45</v>
      </c>
      <c r="J82" s="89"/>
    </row>
    <row r="83" spans="1:10" ht="15" hidden="1" customHeight="1" x14ac:dyDescent="0.25">
      <c r="A83" s="88">
        <f>A82+1</f>
        <v>2</v>
      </c>
      <c r="B83" s="88"/>
      <c r="C83" s="88"/>
      <c r="D83" s="92">
        <f t="shared" si="0"/>
        <v>143.54999999999998</v>
      </c>
      <c r="E83" s="92">
        <f t="shared" si="0"/>
        <v>771.4</v>
      </c>
      <c r="F83" s="92">
        <f t="shared" si="0"/>
        <v>481.4</v>
      </c>
      <c r="G83" s="92">
        <f t="shared" si="0"/>
        <v>5.8</v>
      </c>
      <c r="H83" s="92">
        <f t="shared" si="0"/>
        <v>7.25</v>
      </c>
      <c r="I83" s="92">
        <f t="shared" si="0"/>
        <v>4.3499999999999996</v>
      </c>
      <c r="J83" s="89"/>
    </row>
    <row r="84" spans="1:10" ht="15" hidden="1" customHeight="1" x14ac:dyDescent="0.25">
      <c r="A84" s="88">
        <f t="shared" ref="A84:A92" si="1">A83+1</f>
        <v>3</v>
      </c>
      <c r="B84" s="88"/>
      <c r="C84" s="88"/>
      <c r="D84" s="92">
        <f t="shared" si="0"/>
        <v>41.6</v>
      </c>
      <c r="E84" s="92">
        <f t="shared" si="0"/>
        <v>231.04</v>
      </c>
      <c r="F84" s="92">
        <f t="shared" si="0"/>
        <v>107.52</v>
      </c>
      <c r="G84" s="92">
        <f t="shared" si="0"/>
        <v>1.92</v>
      </c>
      <c r="H84" s="92">
        <f t="shared" si="0"/>
        <v>2.56</v>
      </c>
      <c r="I84" s="92">
        <f t="shared" si="0"/>
        <v>0</v>
      </c>
      <c r="J84" s="89"/>
    </row>
    <row r="85" spans="1:10" ht="15" hidden="1" customHeight="1" x14ac:dyDescent="0.25">
      <c r="A85" s="88">
        <f t="shared" si="1"/>
        <v>4</v>
      </c>
      <c r="B85" s="88"/>
      <c r="C85" s="88"/>
      <c r="D85" s="92">
        <f t="shared" si="0"/>
        <v>8.64</v>
      </c>
      <c r="E85" s="92">
        <f t="shared" si="0"/>
        <v>61.6</v>
      </c>
      <c r="F85" s="92">
        <f t="shared" si="0"/>
        <v>25.44</v>
      </c>
      <c r="G85" s="92">
        <f t="shared" si="0"/>
        <v>0.64</v>
      </c>
      <c r="H85" s="92">
        <f t="shared" si="0"/>
        <v>0.8</v>
      </c>
      <c r="I85" s="92">
        <f t="shared" si="0"/>
        <v>0</v>
      </c>
      <c r="J85" s="89"/>
    </row>
    <row r="86" spans="1:10" ht="15" hidden="1" customHeight="1" x14ac:dyDescent="0.25">
      <c r="A86" s="88">
        <f t="shared" si="1"/>
        <v>5</v>
      </c>
      <c r="B86" s="88"/>
      <c r="C86" s="88"/>
      <c r="D86" s="92">
        <f t="shared" si="0"/>
        <v>100.62</v>
      </c>
      <c r="E86" s="92">
        <f t="shared" si="0"/>
        <v>429.57</v>
      </c>
      <c r="F86" s="92">
        <f t="shared" si="0"/>
        <v>170.28</v>
      </c>
      <c r="G86" s="92">
        <f t="shared" si="0"/>
        <v>2.58</v>
      </c>
      <c r="H86" s="92">
        <f t="shared" si="0"/>
        <v>12.9</v>
      </c>
      <c r="I86" s="92">
        <f t="shared" si="0"/>
        <v>6.45</v>
      </c>
      <c r="J86" s="89"/>
    </row>
    <row r="87" spans="1:10" ht="15" hidden="1" customHeight="1" x14ac:dyDescent="0.25">
      <c r="A87" s="88">
        <f t="shared" si="1"/>
        <v>6</v>
      </c>
      <c r="B87" s="88"/>
      <c r="C87" s="88"/>
      <c r="D87" s="92">
        <f t="shared" si="0"/>
        <v>34.56</v>
      </c>
      <c r="E87" s="92">
        <f t="shared" si="0"/>
        <v>161.28</v>
      </c>
      <c r="F87" s="92">
        <f t="shared" si="0"/>
        <v>87.04</v>
      </c>
      <c r="G87" s="92">
        <f t="shared" si="0"/>
        <v>3.2</v>
      </c>
      <c r="H87" s="92">
        <f t="shared" si="0"/>
        <v>5.12</v>
      </c>
      <c r="I87" s="92">
        <f t="shared" si="0"/>
        <v>0.64</v>
      </c>
      <c r="J87" s="89"/>
    </row>
    <row r="88" spans="1:10" ht="15" hidden="1" customHeight="1" x14ac:dyDescent="0.25">
      <c r="A88" s="88">
        <f t="shared" si="1"/>
        <v>7</v>
      </c>
      <c r="B88" s="88"/>
      <c r="C88" s="88"/>
      <c r="D88" s="92">
        <f t="shared" si="0"/>
        <v>90.399999999999991</v>
      </c>
      <c r="E88" s="92">
        <f t="shared" si="0"/>
        <v>636.18999999999994</v>
      </c>
      <c r="F88" s="92">
        <f t="shared" si="0"/>
        <v>515.28</v>
      </c>
      <c r="G88" s="92">
        <f t="shared" si="0"/>
        <v>7.9099999999999993</v>
      </c>
      <c r="H88" s="92">
        <f t="shared" si="0"/>
        <v>4.5199999999999996</v>
      </c>
      <c r="I88" s="92">
        <f t="shared" si="0"/>
        <v>6.7799999999999994</v>
      </c>
      <c r="J88" s="89"/>
    </row>
    <row r="89" spans="1:10" ht="15" hidden="1" customHeight="1" x14ac:dyDescent="0.25">
      <c r="A89" s="88">
        <f t="shared" si="1"/>
        <v>8</v>
      </c>
      <c r="B89" s="88"/>
      <c r="C89" s="88"/>
      <c r="D89" s="92">
        <f t="shared" si="0"/>
        <v>19.09</v>
      </c>
      <c r="E89" s="92">
        <f t="shared" si="0"/>
        <v>103.75</v>
      </c>
      <c r="F89" s="92">
        <f t="shared" si="0"/>
        <v>12.45</v>
      </c>
      <c r="G89" s="92">
        <f t="shared" si="0"/>
        <v>0.83</v>
      </c>
      <c r="H89" s="92">
        <f t="shared" si="0"/>
        <v>1.66</v>
      </c>
      <c r="I89" s="92">
        <f t="shared" si="0"/>
        <v>0.83</v>
      </c>
      <c r="J89" s="89"/>
    </row>
    <row r="90" spans="1:10" ht="15" hidden="1" customHeight="1" x14ac:dyDescent="0.25">
      <c r="A90" s="88">
        <f t="shared" si="1"/>
        <v>9</v>
      </c>
      <c r="B90" s="88"/>
      <c r="C90" s="88"/>
      <c r="D90" s="92">
        <f t="shared" si="0"/>
        <v>58.050000000000004</v>
      </c>
      <c r="E90" s="92">
        <f t="shared" si="0"/>
        <v>1002.33</v>
      </c>
      <c r="F90" s="92">
        <f t="shared" si="0"/>
        <v>42.57</v>
      </c>
      <c r="G90" s="92">
        <f t="shared" si="0"/>
        <v>10.32</v>
      </c>
      <c r="H90" s="92">
        <f t="shared" si="0"/>
        <v>3.87</v>
      </c>
      <c r="I90" s="92">
        <f t="shared" si="0"/>
        <v>1.29</v>
      </c>
      <c r="J90" s="89"/>
    </row>
    <row r="91" spans="1:10" ht="15" hidden="1" customHeight="1" x14ac:dyDescent="0.25">
      <c r="A91" s="88">
        <f t="shared" si="1"/>
        <v>10</v>
      </c>
      <c r="B91" s="88"/>
      <c r="C91" s="88"/>
      <c r="D91" s="92">
        <f t="shared" si="0"/>
        <v>40.669999999999995</v>
      </c>
      <c r="E91" s="92">
        <f t="shared" si="0"/>
        <v>375.99</v>
      </c>
      <c r="F91" s="92">
        <f t="shared" si="0"/>
        <v>114.53999999999999</v>
      </c>
      <c r="G91" s="92">
        <f t="shared" si="0"/>
        <v>5.81</v>
      </c>
      <c r="H91" s="92">
        <f t="shared" si="0"/>
        <v>5.81</v>
      </c>
      <c r="I91" s="92">
        <f t="shared" si="0"/>
        <v>0.83</v>
      </c>
      <c r="J91" s="89"/>
    </row>
    <row r="92" spans="1:10" ht="15" hidden="1" customHeight="1" x14ac:dyDescent="0.25">
      <c r="A92" s="88">
        <f t="shared" si="1"/>
        <v>11</v>
      </c>
      <c r="B92" s="88"/>
      <c r="C92" s="88"/>
      <c r="D92" s="92">
        <f t="shared" si="0"/>
        <v>75.19</v>
      </c>
      <c r="E92" s="92">
        <f t="shared" si="0"/>
        <v>465.56</v>
      </c>
      <c r="F92" s="92">
        <f t="shared" si="0"/>
        <v>236.9</v>
      </c>
      <c r="G92" s="92">
        <f t="shared" si="0"/>
        <v>7.21</v>
      </c>
      <c r="H92" s="92">
        <f t="shared" si="0"/>
        <v>4.12</v>
      </c>
      <c r="I92" s="92">
        <f t="shared" si="0"/>
        <v>1.03</v>
      </c>
      <c r="J92" s="89"/>
    </row>
    <row r="93" spans="1:10" ht="15" hidden="1" customHeight="1" x14ac:dyDescent="0.25">
      <c r="A93" s="216" t="s">
        <v>263</v>
      </c>
      <c r="B93" s="216"/>
      <c r="C93" s="88"/>
      <c r="D93" s="217"/>
      <c r="E93" s="217"/>
      <c r="F93" s="217"/>
      <c r="G93" s="217"/>
      <c r="H93" s="217"/>
      <c r="I93" s="217"/>
      <c r="J93" s="89"/>
    </row>
    <row r="94" spans="1:10" ht="15" hidden="1" customHeight="1" x14ac:dyDescent="0.25">
      <c r="A94" s="13"/>
      <c r="B94" s="13"/>
      <c r="C94" s="20" t="s">
        <v>3</v>
      </c>
      <c r="D94" s="20">
        <f t="shared" ref="D94:I94" si="2">SUM(D82:D93)</f>
        <v>677.61999999999989</v>
      </c>
      <c r="E94" s="20">
        <f t="shared" si="2"/>
        <v>4894.1100000000006</v>
      </c>
      <c r="F94" s="20">
        <f t="shared" si="2"/>
        <v>2177.67</v>
      </c>
      <c r="G94" s="20">
        <f t="shared" si="2"/>
        <v>57.82</v>
      </c>
      <c r="H94" s="20">
        <f t="shared" si="2"/>
        <v>68.91</v>
      </c>
      <c r="I94" s="20">
        <f t="shared" si="2"/>
        <v>23.65</v>
      </c>
      <c r="J94" s="89"/>
    </row>
    <row r="95" spans="1:10" ht="15" hidden="1" customHeight="1" x14ac:dyDescent="0.25">
      <c r="A95" s="13"/>
      <c r="B95" s="13"/>
      <c r="C95" s="20"/>
      <c r="D95" s="20"/>
      <c r="E95" s="20"/>
      <c r="F95" s="20"/>
      <c r="G95" s="20"/>
      <c r="H95" s="20"/>
      <c r="I95" s="20"/>
      <c r="J95" s="89"/>
    </row>
    <row r="96" spans="1:10" ht="15" hidden="1" customHeight="1" x14ac:dyDescent="0.25">
      <c r="J96" s="77"/>
    </row>
    <row r="97" spans="1:10" ht="15" hidden="1" customHeight="1" x14ac:dyDescent="0.25">
      <c r="A97" s="83">
        <v>2</v>
      </c>
      <c r="B97" s="83"/>
      <c r="C97" s="452" t="s">
        <v>180</v>
      </c>
      <c r="D97" s="452"/>
      <c r="E97" s="452"/>
      <c r="F97" s="452"/>
      <c r="H97" s="447" t="s">
        <v>172</v>
      </c>
      <c r="I97" s="447"/>
      <c r="J97" s="447"/>
    </row>
    <row r="98" spans="1:10" ht="15" hidden="1" customHeight="1" x14ac:dyDescent="0.25">
      <c r="A98" s="97"/>
      <c r="B98" s="97"/>
      <c r="C98" s="97"/>
      <c r="D98" s="72" t="s">
        <v>147</v>
      </c>
      <c r="E98" s="72" t="s">
        <v>148</v>
      </c>
      <c r="F98" s="72" t="s">
        <v>149</v>
      </c>
      <c r="G98" s="72" t="s">
        <v>150</v>
      </c>
      <c r="H98" s="72" t="s">
        <v>151</v>
      </c>
      <c r="I98" s="72" t="s">
        <v>152</v>
      </c>
      <c r="J98" s="183"/>
    </row>
    <row r="99" spans="1:10" ht="15" hidden="1" customHeight="1" x14ac:dyDescent="0.25">
      <c r="A99" t="s">
        <v>73</v>
      </c>
      <c r="C99" s="2" t="s">
        <v>165</v>
      </c>
      <c r="D99" s="75">
        <f>D94*$E42/100</f>
        <v>677.61999999999989</v>
      </c>
      <c r="E99" s="75">
        <f>E94*$E43/100</f>
        <v>4649.4045000000006</v>
      </c>
      <c r="F99" s="75">
        <f>F94*$E44/100</f>
        <v>1959.9030000000002</v>
      </c>
      <c r="G99" s="233"/>
      <c r="H99" s="75">
        <f>H94*$E46/100</f>
        <v>6.8909999999999991</v>
      </c>
      <c r="I99" s="233"/>
      <c r="J99" s="77"/>
    </row>
    <row r="100" spans="1:10" ht="15" hidden="1" customHeight="1" x14ac:dyDescent="0.25">
      <c r="C100" s="2" t="s">
        <v>69</v>
      </c>
      <c r="D100" s="233"/>
      <c r="E100" s="233"/>
      <c r="F100" s="75">
        <f>F94*$F44/100</f>
        <v>217.767</v>
      </c>
      <c r="G100" s="75">
        <f>G94*$F45/100</f>
        <v>57.82</v>
      </c>
      <c r="H100" s="75">
        <f>H94*$F46/100</f>
        <v>62.018999999999998</v>
      </c>
      <c r="I100" s="75">
        <f>I94*$F47/100</f>
        <v>21.285</v>
      </c>
      <c r="J100" s="77"/>
    </row>
    <row r="101" spans="1:10" ht="15" hidden="1" customHeight="1" x14ac:dyDescent="0.25">
      <c r="C101" s="2" t="s">
        <v>70</v>
      </c>
      <c r="D101" s="233"/>
      <c r="E101" s="75">
        <f>E94*$G43/100</f>
        <v>244.70550000000003</v>
      </c>
      <c r="F101" s="233"/>
      <c r="G101" s="233"/>
      <c r="H101" s="233"/>
      <c r="I101" s="75">
        <f>I94*$G47/100</f>
        <v>2.3650000000000002</v>
      </c>
      <c r="J101" s="77"/>
    </row>
    <row r="102" spans="1:10" ht="15" hidden="1" customHeight="1" x14ac:dyDescent="0.25">
      <c r="C102" s="16" t="s">
        <v>177</v>
      </c>
      <c r="D102" s="234">
        <f t="shared" ref="D102:I102" si="3">SUM(D99:D101)</f>
        <v>677.61999999999989</v>
      </c>
      <c r="E102" s="234">
        <f t="shared" si="3"/>
        <v>4894.1100000000006</v>
      </c>
      <c r="F102" s="234">
        <f t="shared" si="3"/>
        <v>2177.67</v>
      </c>
      <c r="G102" s="234">
        <f t="shared" si="3"/>
        <v>57.82</v>
      </c>
      <c r="H102" s="234">
        <f t="shared" si="3"/>
        <v>68.91</v>
      </c>
      <c r="I102" s="234">
        <f t="shared" si="3"/>
        <v>23.65</v>
      </c>
      <c r="J102" s="77"/>
    </row>
    <row r="103" spans="1:10" ht="15" hidden="1" customHeight="1" x14ac:dyDescent="0.25">
      <c r="J103" s="77"/>
    </row>
    <row r="104" spans="1:10" ht="48.75" hidden="1" customHeight="1" x14ac:dyDescent="0.25">
      <c r="A104" s="83">
        <v>3</v>
      </c>
      <c r="B104" s="83"/>
      <c r="C104" s="446" t="s">
        <v>179</v>
      </c>
      <c r="D104" s="446"/>
      <c r="E104" s="446"/>
      <c r="F104" s="446"/>
      <c r="H104" s="447" t="s">
        <v>172</v>
      </c>
      <c r="I104" s="447"/>
      <c r="J104" s="447"/>
    </row>
    <row r="105" spans="1:10" ht="15" hidden="1" customHeight="1" x14ac:dyDescent="0.25">
      <c r="A105" s="97"/>
      <c r="B105" s="97"/>
      <c r="C105" s="184"/>
      <c r="D105" s="72" t="s">
        <v>147</v>
      </c>
      <c r="E105" s="72" t="s">
        <v>148</v>
      </c>
      <c r="F105" s="72" t="s">
        <v>149</v>
      </c>
      <c r="G105" s="72" t="s">
        <v>150</v>
      </c>
      <c r="H105" s="72" t="s">
        <v>151</v>
      </c>
      <c r="I105" s="72" t="s">
        <v>152</v>
      </c>
      <c r="J105" s="183"/>
    </row>
    <row r="106" spans="1:10" ht="30.75" hidden="1" customHeight="1" x14ac:dyDescent="0.25">
      <c r="A106" s="97"/>
      <c r="B106" s="97"/>
      <c r="C106" s="184"/>
      <c r="D106" s="201"/>
      <c r="E106" s="202" t="s">
        <v>206</v>
      </c>
      <c r="F106" s="72"/>
      <c r="G106" s="200"/>
      <c r="H106" s="72"/>
      <c r="I106" s="200"/>
      <c r="J106" s="183"/>
    </row>
    <row r="107" spans="1:10" ht="15" hidden="1" customHeight="1" x14ac:dyDescent="0.25">
      <c r="A107" s="97"/>
      <c r="B107" s="97"/>
      <c r="C107" s="184"/>
      <c r="D107" s="201"/>
      <c r="E107" s="232">
        <f>E99*$E52/100</f>
        <v>232.47022500000003</v>
      </c>
      <c r="F107" s="72"/>
      <c r="G107" s="200"/>
      <c r="H107" s="72"/>
      <c r="I107" s="200"/>
      <c r="J107" s="183"/>
    </row>
    <row r="108" spans="1:10" ht="46.5" hidden="1" customHeight="1" x14ac:dyDescent="0.25">
      <c r="A108" s="97"/>
      <c r="B108" s="97"/>
      <c r="C108" s="184"/>
      <c r="D108" s="201"/>
      <c r="E108" s="202" t="s">
        <v>223</v>
      </c>
      <c r="F108" s="72"/>
      <c r="G108" s="200"/>
      <c r="H108" s="72"/>
      <c r="I108" s="200"/>
      <c r="J108" s="183"/>
    </row>
    <row r="109" spans="1:10" ht="15" hidden="1" customHeight="1" x14ac:dyDescent="0.25">
      <c r="A109" s="97"/>
      <c r="B109" s="97"/>
      <c r="C109" s="184"/>
      <c r="D109" s="201"/>
      <c r="E109" s="232">
        <f>E99*$G52/100</f>
        <v>232.47022500000003</v>
      </c>
      <c r="F109" s="72"/>
      <c r="G109" s="200"/>
      <c r="H109" s="72"/>
      <c r="I109" s="200"/>
      <c r="J109" s="183"/>
    </row>
    <row r="110" spans="1:10" ht="36.75" hidden="1" customHeight="1" x14ac:dyDescent="0.25">
      <c r="A110" s="97"/>
      <c r="B110" s="97"/>
      <c r="C110" s="184"/>
      <c r="D110" s="202" t="s">
        <v>227</v>
      </c>
      <c r="E110" s="202" t="s">
        <v>224</v>
      </c>
      <c r="F110" s="72"/>
      <c r="G110" s="200"/>
      <c r="H110" s="72"/>
      <c r="I110" s="200"/>
      <c r="J110" s="183"/>
    </row>
    <row r="111" spans="1:10" ht="21" hidden="1" customHeight="1" x14ac:dyDescent="0.25">
      <c r="A111" s="97"/>
      <c r="B111" s="97"/>
      <c r="C111" s="184"/>
      <c r="D111" s="231">
        <f>D99*$K51/100</f>
        <v>33.880999999999993</v>
      </c>
      <c r="E111" s="232">
        <f>E99*$H52/100</f>
        <v>464.94045000000006</v>
      </c>
      <c r="F111" s="72"/>
      <c r="G111" s="200"/>
      <c r="H111" s="72"/>
      <c r="I111" s="200"/>
      <c r="J111" s="183"/>
    </row>
    <row r="112" spans="1:10" ht="51" hidden="1" customHeight="1" x14ac:dyDescent="0.25">
      <c r="A112" t="s">
        <v>178</v>
      </c>
      <c r="C112" t="s">
        <v>166</v>
      </c>
      <c r="D112" s="84" t="s">
        <v>167</v>
      </c>
      <c r="E112" s="85" t="s">
        <v>169</v>
      </c>
      <c r="F112" s="86" t="s">
        <v>171</v>
      </c>
      <c r="G112" s="94"/>
      <c r="H112" s="86" t="s">
        <v>171</v>
      </c>
      <c r="I112" s="94"/>
      <c r="J112" s="77"/>
    </row>
    <row r="113" spans="1:10" ht="15" hidden="1" customHeight="1" x14ac:dyDescent="0.25">
      <c r="D113" s="225">
        <f>D99*$L51/100</f>
        <v>135.52399999999997</v>
      </c>
      <c r="E113" s="228">
        <f>E99*$I52/100</f>
        <v>1394.8213500000002</v>
      </c>
      <c r="F113" s="229">
        <f>F99*F53/100</f>
        <v>1959.9030000000002</v>
      </c>
      <c r="G113" s="230"/>
      <c r="H113" s="229">
        <f>H99*F55/100</f>
        <v>6.8909999999999991</v>
      </c>
      <c r="I113" s="94"/>
      <c r="J113" s="77"/>
    </row>
    <row r="114" spans="1:10" ht="51" hidden="1" customHeight="1" x14ac:dyDescent="0.25">
      <c r="D114" s="84" t="s">
        <v>168</v>
      </c>
      <c r="E114" s="85" t="s">
        <v>170</v>
      </c>
      <c r="F114" s="94"/>
      <c r="G114" s="94"/>
      <c r="H114" s="94"/>
      <c r="I114" s="94"/>
      <c r="J114" s="77"/>
    </row>
    <row r="115" spans="1:10" ht="15" hidden="1" customHeight="1" x14ac:dyDescent="0.25">
      <c r="D115" s="225">
        <f>D99*$M51/100</f>
        <v>508.21499999999992</v>
      </c>
      <c r="E115" s="226">
        <f>E99*$J52/100</f>
        <v>2324.7022500000003</v>
      </c>
      <c r="F115" s="94"/>
      <c r="G115" s="94"/>
      <c r="H115" s="94"/>
      <c r="I115" s="94"/>
      <c r="J115" s="77"/>
    </row>
    <row r="116" spans="1:10" s="1" customFormat="1" ht="15" hidden="1" customHeight="1" x14ac:dyDescent="0.25">
      <c r="A116" s="219" t="s">
        <v>264</v>
      </c>
      <c r="B116" s="219"/>
      <c r="C116" s="219"/>
      <c r="D116" s="227">
        <f t="shared" ref="D116:I116" si="4">D107+D109+D111+D113+D115</f>
        <v>677.61999999999989</v>
      </c>
      <c r="E116" s="227">
        <f t="shared" si="4"/>
        <v>4649.4045000000006</v>
      </c>
      <c r="F116" s="227">
        <f t="shared" si="4"/>
        <v>1959.9030000000002</v>
      </c>
      <c r="G116" s="227">
        <f t="shared" si="4"/>
        <v>0</v>
      </c>
      <c r="H116" s="227">
        <f t="shared" si="4"/>
        <v>6.8909999999999991</v>
      </c>
      <c r="I116" s="227">
        <f t="shared" si="4"/>
        <v>0</v>
      </c>
      <c r="J116" s="218"/>
    </row>
    <row r="117" spans="1:10" ht="26.25" hidden="1" customHeight="1" x14ac:dyDescent="0.25">
      <c r="C117" t="s">
        <v>69</v>
      </c>
      <c r="D117" s="94"/>
      <c r="E117" s="94"/>
      <c r="F117" s="87" t="s">
        <v>171</v>
      </c>
      <c r="G117" s="87" t="s">
        <v>171</v>
      </c>
      <c r="H117" s="87" t="s">
        <v>171</v>
      </c>
      <c r="I117" s="87" t="s">
        <v>171</v>
      </c>
      <c r="J117" s="77"/>
    </row>
    <row r="118" spans="1:10" ht="15" hidden="1" customHeight="1" x14ac:dyDescent="0.25">
      <c r="D118" s="94"/>
      <c r="E118" s="94"/>
      <c r="F118" s="223">
        <f>F100*$E61/100</f>
        <v>217.767</v>
      </c>
      <c r="G118" s="223">
        <f>G100*$E62/100</f>
        <v>57.82</v>
      </c>
      <c r="H118" s="223">
        <f>H100*$E63/100</f>
        <v>62.018999999999998</v>
      </c>
      <c r="I118" s="223">
        <f>I100*$E64/100</f>
        <v>21.285</v>
      </c>
      <c r="J118" s="77"/>
    </row>
    <row r="119" spans="1:10" ht="15" hidden="1" customHeight="1" x14ac:dyDescent="0.25">
      <c r="A119" s="219" t="s">
        <v>265</v>
      </c>
      <c r="B119" s="219"/>
      <c r="C119" s="219"/>
      <c r="D119" s="220"/>
      <c r="E119" s="220"/>
      <c r="F119" s="222">
        <f>F118</f>
        <v>217.767</v>
      </c>
      <c r="G119" s="222">
        <f>G118</f>
        <v>57.82</v>
      </c>
      <c r="H119" s="222">
        <f>H118</f>
        <v>62.018999999999998</v>
      </c>
      <c r="I119" s="222">
        <f>I118</f>
        <v>21.285</v>
      </c>
      <c r="J119" s="77"/>
    </row>
    <row r="120" spans="1:10" ht="26.25" hidden="1" customHeight="1" x14ac:dyDescent="0.25">
      <c r="C120" t="s">
        <v>70</v>
      </c>
      <c r="D120" s="112"/>
      <c r="E120" s="87" t="s">
        <v>206</v>
      </c>
      <c r="F120" s="112"/>
      <c r="G120" s="112"/>
      <c r="H120" s="112"/>
      <c r="I120" s="112"/>
      <c r="J120" s="77"/>
    </row>
    <row r="121" spans="1:10" ht="15" hidden="1" customHeight="1" x14ac:dyDescent="0.25">
      <c r="D121" s="112"/>
      <c r="E121" s="223">
        <f>E101*$E69/100</f>
        <v>122.35275000000001</v>
      </c>
      <c r="F121" s="112"/>
      <c r="G121" s="112"/>
      <c r="H121" s="112"/>
      <c r="I121" s="112"/>
      <c r="J121" s="77"/>
    </row>
    <row r="122" spans="1:10" ht="26.25" hidden="1" customHeight="1" x14ac:dyDescent="0.25">
      <c r="D122" s="112"/>
      <c r="E122" s="87" t="s">
        <v>207</v>
      </c>
      <c r="F122" s="112"/>
      <c r="G122" s="112"/>
      <c r="H122" s="112"/>
      <c r="I122" s="112"/>
      <c r="J122" s="77"/>
    </row>
    <row r="123" spans="1:10" ht="15" hidden="1" customHeight="1" x14ac:dyDescent="0.25">
      <c r="D123" s="112"/>
      <c r="E123" s="224">
        <f>E101*$F69/100</f>
        <v>122.35275000000001</v>
      </c>
      <c r="F123" s="112"/>
      <c r="G123" s="112"/>
      <c r="H123" s="112"/>
      <c r="I123" s="112"/>
      <c r="J123" s="77"/>
    </row>
    <row r="124" spans="1:10" ht="51.75" hidden="1" customHeight="1" x14ac:dyDescent="0.25">
      <c r="D124" s="112"/>
      <c r="E124" s="209"/>
      <c r="F124" s="112"/>
      <c r="G124" s="112"/>
      <c r="H124" s="112"/>
      <c r="I124" s="87" t="s">
        <v>235</v>
      </c>
      <c r="J124" s="77"/>
    </row>
    <row r="125" spans="1:10" ht="15" hidden="1" customHeight="1" x14ac:dyDescent="0.25">
      <c r="D125" s="112"/>
      <c r="E125" s="209"/>
      <c r="F125" s="112"/>
      <c r="G125" s="112"/>
      <c r="H125" s="112"/>
      <c r="I125" s="223">
        <f>I101*$G73/100</f>
        <v>1.1825000000000001</v>
      </c>
      <c r="J125" s="77"/>
    </row>
    <row r="126" spans="1:10" ht="51.75" hidden="1" customHeight="1" x14ac:dyDescent="0.25">
      <c r="D126" s="112"/>
      <c r="E126" s="209"/>
      <c r="F126" s="112"/>
      <c r="G126" s="112"/>
      <c r="H126" s="112"/>
      <c r="I126" s="87" t="s">
        <v>236</v>
      </c>
      <c r="J126" s="77"/>
    </row>
    <row r="127" spans="1:10" ht="15" hidden="1" customHeight="1" x14ac:dyDescent="0.25">
      <c r="D127" s="112"/>
      <c r="E127" s="209"/>
      <c r="F127" s="112"/>
      <c r="G127" s="112"/>
      <c r="H127" s="112"/>
      <c r="I127" s="223">
        <f>I101*$H73/100</f>
        <v>0.94600000000000006</v>
      </c>
      <c r="J127" s="77"/>
    </row>
    <row r="128" spans="1:10" ht="51.75" hidden="1" customHeight="1" x14ac:dyDescent="0.25">
      <c r="D128" s="112"/>
      <c r="E128" s="209"/>
      <c r="F128" s="112"/>
      <c r="G128" s="112"/>
      <c r="H128" s="112"/>
      <c r="I128" s="87" t="s">
        <v>237</v>
      </c>
      <c r="J128" s="77"/>
    </row>
    <row r="129" spans="1:10" ht="15" hidden="1" customHeight="1" x14ac:dyDescent="0.25">
      <c r="D129" s="112"/>
      <c r="E129" s="209"/>
      <c r="F129" s="112"/>
      <c r="G129" s="112"/>
      <c r="H129" s="112"/>
      <c r="I129" s="223">
        <f>I101*$I73/100</f>
        <v>0</v>
      </c>
      <c r="J129" s="77"/>
    </row>
    <row r="130" spans="1:10" ht="51.75" hidden="1" customHeight="1" x14ac:dyDescent="0.25">
      <c r="D130" s="112"/>
      <c r="E130" s="209"/>
      <c r="F130" s="112"/>
      <c r="G130" s="112"/>
      <c r="H130" s="112"/>
      <c r="I130" s="87" t="s">
        <v>238</v>
      </c>
      <c r="J130" s="77"/>
    </row>
    <row r="131" spans="1:10" ht="15" hidden="1" customHeight="1" x14ac:dyDescent="0.25">
      <c r="D131" s="112"/>
      <c r="E131" s="209"/>
      <c r="F131" s="112"/>
      <c r="G131" s="112"/>
      <c r="H131" s="112"/>
      <c r="I131" s="223">
        <f>I101*$J73/100</f>
        <v>0.23650000000000002</v>
      </c>
      <c r="J131" s="77"/>
    </row>
    <row r="132" spans="1:10" s="1" customFormat="1" ht="15" hidden="1" customHeight="1" x14ac:dyDescent="0.25">
      <c r="A132" s="219" t="s">
        <v>266</v>
      </c>
      <c r="B132" s="219"/>
      <c r="C132" s="219"/>
      <c r="D132" s="222"/>
      <c r="E132" s="221">
        <f>E121+E123</f>
        <v>244.70550000000003</v>
      </c>
      <c r="F132" s="222">
        <f>F131</f>
        <v>0</v>
      </c>
      <c r="G132" s="222">
        <f>G131</f>
        <v>0</v>
      </c>
      <c r="H132" s="222">
        <f>H131</f>
        <v>0</v>
      </c>
      <c r="I132" s="222">
        <f>I125+I127+I129+I131</f>
        <v>2.3650000000000002</v>
      </c>
      <c r="J132" s="218"/>
    </row>
    <row r="133" spans="1:10" ht="34.5" hidden="1" customHeight="1" x14ac:dyDescent="0.25">
      <c r="A133" s="83">
        <v>4</v>
      </c>
      <c r="B133" s="83"/>
      <c r="C133" s="446" t="s">
        <v>181</v>
      </c>
      <c r="D133" s="446"/>
      <c r="E133" s="446"/>
      <c r="F133" s="446"/>
      <c r="J133" s="77"/>
    </row>
    <row r="134" spans="1:10" ht="15" hidden="1" customHeight="1" x14ac:dyDescent="0.25">
      <c r="A134" s="83"/>
      <c r="B134" s="83"/>
      <c r="C134" s="184"/>
      <c r="D134" s="72" t="s">
        <v>147</v>
      </c>
      <c r="E134" s="72" t="s">
        <v>148</v>
      </c>
      <c r="F134" s="72" t="s">
        <v>149</v>
      </c>
      <c r="G134" s="72" t="s">
        <v>150</v>
      </c>
      <c r="H134" s="72" t="s">
        <v>151</v>
      </c>
      <c r="I134" s="72" t="s">
        <v>152</v>
      </c>
      <c r="J134" s="77"/>
    </row>
    <row r="135" spans="1:10" ht="25.5" hidden="1" customHeight="1" x14ac:dyDescent="0.25">
      <c r="A135" s="97"/>
      <c r="B135" s="97"/>
      <c r="C135" s="184"/>
      <c r="D135" s="201"/>
      <c r="E135" s="202" t="s">
        <v>206</v>
      </c>
      <c r="F135" s="201"/>
      <c r="G135" s="203"/>
      <c r="H135" s="201"/>
      <c r="I135" s="203"/>
      <c r="J135" s="77"/>
    </row>
    <row r="136" spans="1:10" ht="15" hidden="1" customHeight="1" x14ac:dyDescent="0.25">
      <c r="A136" s="97"/>
      <c r="B136" s="97"/>
      <c r="C136" s="184"/>
      <c r="D136" s="201"/>
      <c r="E136" s="232">
        <f>E107*$F$21</f>
        <v>63464.371425000005</v>
      </c>
      <c r="F136" s="201"/>
      <c r="G136" s="203"/>
      <c r="H136" s="201"/>
      <c r="I136" s="203"/>
      <c r="J136" s="77"/>
    </row>
    <row r="137" spans="1:10" ht="38.25" hidden="1" customHeight="1" x14ac:dyDescent="0.25">
      <c r="A137" s="97"/>
      <c r="B137" s="97"/>
      <c r="C137" s="184"/>
      <c r="D137" s="201"/>
      <c r="E137" s="202" t="s">
        <v>223</v>
      </c>
      <c r="F137" s="201"/>
      <c r="G137" s="203"/>
      <c r="H137" s="201"/>
      <c r="I137" s="203"/>
      <c r="J137" s="77"/>
    </row>
    <row r="138" spans="1:10" ht="15" hidden="1" customHeight="1" x14ac:dyDescent="0.25">
      <c r="A138" s="97"/>
      <c r="B138" s="97"/>
      <c r="C138" s="184"/>
      <c r="D138" s="201"/>
      <c r="E138" s="232">
        <f>E109*$F$22</f>
        <v>53003.21130000001</v>
      </c>
      <c r="F138" s="201"/>
      <c r="G138" s="203"/>
      <c r="H138" s="201"/>
      <c r="I138" s="203"/>
      <c r="J138" s="77"/>
    </row>
    <row r="139" spans="1:10" ht="38.25" hidden="1" customHeight="1" x14ac:dyDescent="0.25">
      <c r="A139" s="97"/>
      <c r="B139" s="97"/>
      <c r="C139" s="184"/>
      <c r="D139" s="202" t="s">
        <v>227</v>
      </c>
      <c r="E139" s="202" t="s">
        <v>224</v>
      </c>
      <c r="F139" s="201"/>
      <c r="G139" s="203"/>
      <c r="H139" s="201"/>
      <c r="I139" s="203"/>
      <c r="J139" s="77"/>
    </row>
    <row r="140" spans="1:10" ht="15" hidden="1" customHeight="1" x14ac:dyDescent="0.25">
      <c r="A140" s="97"/>
      <c r="B140" s="97"/>
      <c r="C140" s="184"/>
      <c r="D140" s="232">
        <f>D111*$F$18</f>
        <v>2012.5313999999996</v>
      </c>
      <c r="E140" s="232">
        <f>E111*$F$23</f>
        <v>94382.911350000009</v>
      </c>
      <c r="F140" s="201"/>
      <c r="G140" s="203"/>
      <c r="H140" s="201"/>
      <c r="I140" s="203"/>
      <c r="J140" s="77"/>
    </row>
    <row r="141" spans="1:10" ht="51" hidden="1" customHeight="1" x14ac:dyDescent="0.25">
      <c r="A141" t="s">
        <v>178</v>
      </c>
      <c r="C141" t="s">
        <v>166</v>
      </c>
      <c r="D141" s="84" t="s">
        <v>167</v>
      </c>
      <c r="E141" s="85" t="s">
        <v>169</v>
      </c>
      <c r="F141" s="86" t="s">
        <v>171</v>
      </c>
      <c r="G141" s="94"/>
      <c r="H141" s="86" t="s">
        <v>171</v>
      </c>
      <c r="I141" s="94"/>
      <c r="J141" s="77"/>
    </row>
    <row r="142" spans="1:10" ht="15" hidden="1" customHeight="1" x14ac:dyDescent="0.25">
      <c r="D142" s="225">
        <f>D113*$F$19</f>
        <v>13389.771199999997</v>
      </c>
      <c r="E142" s="240">
        <f>E113*$F$24</f>
        <v>269200.52055000002</v>
      </c>
      <c r="F142" s="241">
        <f>F113*$F$28</f>
        <v>644808.08700000006</v>
      </c>
      <c r="G142" s="94"/>
      <c r="H142" s="229">
        <f>H113*$F$31</f>
        <v>2267.1389999999997</v>
      </c>
      <c r="I142" s="94"/>
      <c r="J142" s="77"/>
    </row>
    <row r="143" spans="1:10" ht="51" hidden="1" customHeight="1" x14ac:dyDescent="0.25">
      <c r="D143" s="84" t="s">
        <v>168</v>
      </c>
      <c r="E143" s="85" t="s">
        <v>170</v>
      </c>
      <c r="F143" s="94"/>
      <c r="G143" s="94"/>
      <c r="H143" s="94"/>
      <c r="I143" s="94"/>
      <c r="J143" s="77"/>
    </row>
    <row r="144" spans="1:10" ht="15" hidden="1" customHeight="1" x14ac:dyDescent="0.25">
      <c r="D144" s="235">
        <f>D115*$F$20</f>
        <v>63526.874999999993</v>
      </c>
      <c r="E144" s="242">
        <f>E115*$F$25</f>
        <v>513759.19725000008</v>
      </c>
      <c r="F144" s="94"/>
      <c r="G144" s="94"/>
      <c r="H144" s="94"/>
      <c r="I144" s="94"/>
      <c r="J144" s="77"/>
    </row>
    <row r="145" spans="3:10" ht="39.75" hidden="1" customHeight="1" thickBot="1" x14ac:dyDescent="0.3">
      <c r="C145" s="122" t="s">
        <v>197</v>
      </c>
      <c r="D145" s="236">
        <f>D140+D142+D144</f>
        <v>78929.177599999995</v>
      </c>
      <c r="E145" s="237">
        <f>E136+E138+E140+E142+E144</f>
        <v>993810.21187500015</v>
      </c>
      <c r="F145" s="238">
        <f>F142</f>
        <v>644808.08700000006</v>
      </c>
      <c r="G145" s="238"/>
      <c r="H145" s="238">
        <f>H142</f>
        <v>2267.1389999999997</v>
      </c>
      <c r="I145" s="239"/>
      <c r="J145" s="77"/>
    </row>
    <row r="146" spans="3:10" ht="26.25" hidden="1" customHeight="1" x14ac:dyDescent="0.25">
      <c r="C146" t="s">
        <v>69</v>
      </c>
      <c r="D146" s="94"/>
      <c r="E146" s="94"/>
      <c r="F146" s="117" t="s">
        <v>171</v>
      </c>
      <c r="G146" s="117" t="s">
        <v>171</v>
      </c>
      <c r="H146" s="117" t="s">
        <v>171</v>
      </c>
      <c r="I146" s="117" t="s">
        <v>171</v>
      </c>
      <c r="J146" s="77"/>
    </row>
    <row r="147" spans="3:10" ht="15" hidden="1" customHeight="1" x14ac:dyDescent="0.25">
      <c r="D147" s="94"/>
      <c r="E147" s="94"/>
      <c r="F147" s="118">
        <f>F118*$F$29</f>
        <v>62281.362000000001</v>
      </c>
      <c r="G147" s="118">
        <f>G118*$F$30</f>
        <v>45157.42</v>
      </c>
      <c r="H147" s="118">
        <f>H118*$F$32</f>
        <v>17737.434000000001</v>
      </c>
      <c r="I147" s="118">
        <f>I118*$F$33</f>
        <v>16623.584999999999</v>
      </c>
      <c r="J147" s="77"/>
    </row>
    <row r="148" spans="3:10" ht="39.75" hidden="1" customHeight="1" thickBot="1" x14ac:dyDescent="0.3">
      <c r="C148" s="122" t="s">
        <v>198</v>
      </c>
      <c r="D148" s="205"/>
      <c r="E148" s="206"/>
      <c r="F148" s="128">
        <f>F147</f>
        <v>62281.362000000001</v>
      </c>
      <c r="G148" s="128">
        <f>G147</f>
        <v>45157.42</v>
      </c>
      <c r="H148" s="128">
        <f>H147</f>
        <v>17737.434000000001</v>
      </c>
      <c r="I148" s="129">
        <f>I147</f>
        <v>16623.584999999999</v>
      </c>
      <c r="J148" s="77"/>
    </row>
    <row r="149" spans="3:10" ht="26.25" hidden="1" customHeight="1" x14ac:dyDescent="0.25">
      <c r="C149" t="s">
        <v>70</v>
      </c>
      <c r="D149" s="112"/>
      <c r="E149" s="117" t="s">
        <v>206</v>
      </c>
      <c r="F149" s="112"/>
      <c r="G149" s="112"/>
      <c r="H149" s="112"/>
      <c r="I149" s="112"/>
      <c r="J149" s="77"/>
    </row>
    <row r="150" spans="3:10" ht="15" hidden="1" customHeight="1" x14ac:dyDescent="0.25">
      <c r="D150" s="112"/>
      <c r="E150" s="114">
        <f>E121*$F$26</f>
        <v>46371.692250000007</v>
      </c>
      <c r="F150" s="112"/>
      <c r="G150" s="112"/>
      <c r="H150" s="112"/>
      <c r="I150" s="112"/>
      <c r="J150" s="77"/>
    </row>
    <row r="151" spans="3:10" ht="26.25" hidden="1" customHeight="1" x14ac:dyDescent="0.25">
      <c r="D151" s="112"/>
      <c r="E151" s="87" t="s">
        <v>207</v>
      </c>
      <c r="F151" s="112"/>
      <c r="G151" s="112"/>
      <c r="H151" s="112"/>
      <c r="I151" s="112"/>
      <c r="J151" s="77"/>
    </row>
    <row r="152" spans="3:10" ht="15" hidden="1" customHeight="1" x14ac:dyDescent="0.25">
      <c r="D152" s="112"/>
      <c r="E152" s="121">
        <f>E123*$F$27</f>
        <v>18108.207000000002</v>
      </c>
      <c r="F152" s="112"/>
      <c r="G152" s="112"/>
      <c r="H152" s="112"/>
      <c r="I152" s="112"/>
      <c r="J152" s="77"/>
    </row>
    <row r="153" spans="3:10" ht="51.75" hidden="1" customHeight="1" x14ac:dyDescent="0.25">
      <c r="D153" s="112"/>
      <c r="E153" s="112"/>
      <c r="F153" s="112"/>
      <c r="G153" s="112"/>
      <c r="H153" s="112"/>
      <c r="I153" s="87" t="s">
        <v>235</v>
      </c>
      <c r="J153" s="77"/>
    </row>
    <row r="154" spans="3:10" ht="15" hidden="1" customHeight="1" x14ac:dyDescent="0.25">
      <c r="D154" s="112"/>
      <c r="E154" s="112"/>
      <c r="F154" s="112"/>
      <c r="G154" s="112"/>
      <c r="H154" s="112"/>
      <c r="I154" s="223">
        <f>I125*$F$34</f>
        <v>1312.575</v>
      </c>
      <c r="J154" s="77"/>
    </row>
    <row r="155" spans="3:10" ht="51.75" hidden="1" customHeight="1" x14ac:dyDescent="0.25">
      <c r="D155" s="112"/>
      <c r="E155" s="112"/>
      <c r="F155" s="112"/>
      <c r="G155" s="112"/>
      <c r="H155" s="112"/>
      <c r="I155" s="87" t="s">
        <v>236</v>
      </c>
      <c r="J155" s="77"/>
    </row>
    <row r="156" spans="3:10" ht="15" hidden="1" customHeight="1" x14ac:dyDescent="0.25">
      <c r="D156" s="112"/>
      <c r="E156" s="112"/>
      <c r="F156" s="112"/>
      <c r="G156" s="112"/>
      <c r="H156" s="112"/>
      <c r="I156" s="223">
        <f>I127*$F$35</f>
        <v>579.89800000000002</v>
      </c>
      <c r="J156" s="77"/>
    </row>
    <row r="157" spans="3:10" ht="51.75" hidden="1" customHeight="1" x14ac:dyDescent="0.25">
      <c r="D157" s="112"/>
      <c r="E157" s="112"/>
      <c r="F157" s="112"/>
      <c r="G157" s="112"/>
      <c r="H157" s="112"/>
      <c r="I157" s="87" t="s">
        <v>237</v>
      </c>
      <c r="J157" s="77"/>
    </row>
    <row r="158" spans="3:10" ht="15" hidden="1" customHeight="1" x14ac:dyDescent="0.25">
      <c r="D158" s="112"/>
      <c r="E158" s="112"/>
      <c r="F158" s="112"/>
      <c r="G158" s="112"/>
      <c r="H158" s="112"/>
      <c r="I158" s="223">
        <f>I129*$F$36</f>
        <v>0</v>
      </c>
      <c r="J158" s="77"/>
    </row>
    <row r="159" spans="3:10" ht="51.75" hidden="1" customHeight="1" x14ac:dyDescent="0.25">
      <c r="D159" s="112"/>
      <c r="E159" s="112"/>
      <c r="F159" s="112"/>
      <c r="G159" s="112"/>
      <c r="H159" s="112"/>
      <c r="I159" s="87" t="s">
        <v>238</v>
      </c>
      <c r="J159" s="77"/>
    </row>
    <row r="160" spans="3:10" ht="15" hidden="1" customHeight="1" x14ac:dyDescent="0.25">
      <c r="D160" s="112"/>
      <c r="E160" s="112"/>
      <c r="F160" s="112"/>
      <c r="G160" s="112"/>
      <c r="H160" s="112"/>
      <c r="I160" s="223">
        <f>I131*$F$37</f>
        <v>214.97850000000003</v>
      </c>
      <c r="J160" s="77"/>
    </row>
    <row r="161" spans="1:10" ht="39.75" hidden="1" customHeight="1" thickBot="1" x14ac:dyDescent="0.3">
      <c r="C161" s="122" t="s">
        <v>210</v>
      </c>
      <c r="D161" s="207"/>
      <c r="E161" s="208">
        <f>E150+E152</f>
        <v>64479.899250000009</v>
      </c>
      <c r="F161" s="208"/>
      <c r="G161" s="208"/>
      <c r="H161" s="208"/>
      <c r="I161" s="243">
        <f>I154+I156+I158+I160</f>
        <v>2107.4515000000001</v>
      </c>
      <c r="J161" s="77"/>
    </row>
    <row r="162" spans="1:10" ht="15.75" hidden="1" customHeight="1" thickBot="1" x14ac:dyDescent="0.3">
      <c r="A162" s="101"/>
      <c r="B162" s="101"/>
      <c r="C162" s="101"/>
      <c r="D162" s="101"/>
      <c r="E162" s="101"/>
      <c r="F162" s="101"/>
      <c r="G162" s="101"/>
      <c r="H162" s="101"/>
      <c r="I162" s="101"/>
      <c r="J162" s="105"/>
    </row>
    <row r="163" spans="1:10" s="43" customFormat="1" ht="15" hidden="1" customHeight="1" x14ac:dyDescent="0.25">
      <c r="A163" s="43" t="s">
        <v>127</v>
      </c>
      <c r="C163" s="43" t="s">
        <v>267</v>
      </c>
      <c r="J163" s="248"/>
    </row>
    <row r="164" spans="1:10" ht="15" customHeight="1" x14ac:dyDescent="0.25">
      <c r="J164" s="77"/>
    </row>
    <row r="165" spans="1:10" ht="15.75" thickBot="1" x14ac:dyDescent="0.3">
      <c r="F165" s="294" t="s">
        <v>28</v>
      </c>
    </row>
    <row r="166" spans="1:10" ht="15.75" hidden="1" thickBot="1" x14ac:dyDescent="0.3">
      <c r="A166" s="83">
        <v>0</v>
      </c>
      <c r="B166" s="83"/>
      <c r="C166" s="565" t="s">
        <v>174</v>
      </c>
      <c r="D166" s="565"/>
      <c r="E166" s="565"/>
      <c r="F166" s="565"/>
    </row>
    <row r="167" spans="1:10" ht="15.75" thickTop="1" x14ac:dyDescent="0.25">
      <c r="A167" s="1" t="s">
        <v>262</v>
      </c>
      <c r="B167" s="1"/>
      <c r="E167" s="292" t="s">
        <v>55</v>
      </c>
      <c r="F167" s="338">
        <v>2020</v>
      </c>
    </row>
    <row r="168" spans="1:10" ht="15.75" thickBot="1" x14ac:dyDescent="0.3">
      <c r="A168" s="152" t="s">
        <v>213</v>
      </c>
      <c r="B168" s="419"/>
      <c r="C168" s="73"/>
      <c r="D168" s="73"/>
      <c r="E168" s="73"/>
      <c r="F168" s="339">
        <v>365</v>
      </c>
    </row>
    <row r="169" spans="1:10" ht="16.5" thickTop="1" thickBot="1" x14ac:dyDescent="0.3">
      <c r="A169" s="144" t="s">
        <v>191</v>
      </c>
      <c r="B169" s="144" t="s">
        <v>287</v>
      </c>
      <c r="C169" s="286" t="s">
        <v>192</v>
      </c>
      <c r="D169" s="287" t="s">
        <v>147</v>
      </c>
      <c r="E169" s="287" t="s">
        <v>148</v>
      </c>
      <c r="F169" s="293" t="s">
        <v>149</v>
      </c>
      <c r="G169" s="287" t="s">
        <v>150</v>
      </c>
      <c r="H169" s="287" t="s">
        <v>151</v>
      </c>
      <c r="I169" s="287" t="s">
        <v>152</v>
      </c>
    </row>
    <row r="170" spans="1:10" s="297" customFormat="1" ht="15.75" thickTop="1" x14ac:dyDescent="0.25">
      <c r="A170" s="305">
        <v>1</v>
      </c>
      <c r="B170" s="299" t="s">
        <v>295</v>
      </c>
      <c r="C170" s="306">
        <v>1.45</v>
      </c>
      <c r="D170" s="307">
        <v>45</v>
      </c>
      <c r="E170" s="307">
        <v>452</v>
      </c>
      <c r="F170" s="307">
        <v>265</v>
      </c>
      <c r="G170" s="307">
        <v>8</v>
      </c>
      <c r="H170" s="307">
        <v>14</v>
      </c>
      <c r="I170" s="308">
        <v>1</v>
      </c>
    </row>
    <row r="171" spans="1:10" s="297" customFormat="1" x14ac:dyDescent="0.25">
      <c r="A171" s="305">
        <f>A170+1</f>
        <v>2</v>
      </c>
      <c r="B171" s="299" t="s">
        <v>296</v>
      </c>
      <c r="C171" s="309">
        <v>1.45</v>
      </c>
      <c r="D171" s="299">
        <v>99</v>
      </c>
      <c r="E171" s="299">
        <v>532</v>
      </c>
      <c r="F171" s="299">
        <v>332</v>
      </c>
      <c r="G171" s="299">
        <v>4</v>
      </c>
      <c r="H171" s="299">
        <v>5</v>
      </c>
      <c r="I171" s="310">
        <v>3</v>
      </c>
    </row>
    <row r="172" spans="1:10" s="297" customFormat="1" x14ac:dyDescent="0.25">
      <c r="A172" s="305">
        <f t="shared" ref="A172:A180" si="5">A171+1</f>
        <v>3</v>
      </c>
      <c r="B172" s="299" t="s">
        <v>297</v>
      </c>
      <c r="C172" s="309">
        <v>0.64</v>
      </c>
      <c r="D172" s="299">
        <v>65</v>
      </c>
      <c r="E172" s="299">
        <v>361</v>
      </c>
      <c r="F172" s="299">
        <v>168</v>
      </c>
      <c r="G172" s="299">
        <v>3</v>
      </c>
      <c r="H172" s="299">
        <v>4</v>
      </c>
      <c r="I172" s="310">
        <v>0</v>
      </c>
    </row>
    <row r="173" spans="1:10" s="297" customFormat="1" x14ac:dyDescent="0.25">
      <c r="A173" s="305">
        <f t="shared" si="5"/>
        <v>4</v>
      </c>
      <c r="B173" s="299"/>
      <c r="C173" s="309">
        <v>0.16</v>
      </c>
      <c r="D173" s="299">
        <v>54</v>
      </c>
      <c r="E173" s="299">
        <v>385</v>
      </c>
      <c r="F173" s="299">
        <v>159</v>
      </c>
      <c r="G173" s="299">
        <v>4</v>
      </c>
      <c r="H173" s="299">
        <v>5</v>
      </c>
      <c r="I173" s="310">
        <v>0</v>
      </c>
    </row>
    <row r="174" spans="1:10" s="297" customFormat="1" x14ac:dyDescent="0.25">
      <c r="A174" s="305">
        <f>A173+1</f>
        <v>5</v>
      </c>
      <c r="B174" s="299"/>
      <c r="C174" s="309">
        <v>1.29</v>
      </c>
      <c r="D174" s="299">
        <v>78</v>
      </c>
      <c r="E174" s="299">
        <v>333</v>
      </c>
      <c r="F174" s="299">
        <v>132</v>
      </c>
      <c r="G174" s="299">
        <v>2</v>
      </c>
      <c r="H174" s="299">
        <v>10</v>
      </c>
      <c r="I174" s="310">
        <v>5</v>
      </c>
    </row>
    <row r="175" spans="1:10" s="297" customFormat="1" x14ac:dyDescent="0.25">
      <c r="A175" s="305">
        <f t="shared" si="5"/>
        <v>6</v>
      </c>
      <c r="B175" s="299"/>
      <c r="C175" s="309">
        <v>0.64</v>
      </c>
      <c r="D175" s="299">
        <v>54</v>
      </c>
      <c r="E175" s="299">
        <v>252</v>
      </c>
      <c r="F175" s="299">
        <v>136</v>
      </c>
      <c r="G175" s="299">
        <v>5</v>
      </c>
      <c r="H175" s="299">
        <v>8</v>
      </c>
      <c r="I175" s="310">
        <v>1</v>
      </c>
    </row>
    <row r="176" spans="1:10" s="297" customFormat="1" x14ac:dyDescent="0.25">
      <c r="A176" s="305">
        <f t="shared" si="5"/>
        <v>7</v>
      </c>
      <c r="B176" s="299"/>
      <c r="C176" s="309">
        <v>1.1299999999999999</v>
      </c>
      <c r="D176" s="299">
        <v>80</v>
      </c>
      <c r="E176" s="299">
        <v>563</v>
      </c>
      <c r="F176" s="299">
        <v>456</v>
      </c>
      <c r="G176" s="299">
        <v>7</v>
      </c>
      <c r="H176" s="299">
        <v>4</v>
      </c>
      <c r="I176" s="310">
        <v>6</v>
      </c>
    </row>
    <row r="177" spans="1:10" s="297" customFormat="1" x14ac:dyDescent="0.25">
      <c r="A177" s="305">
        <f>A176+1</f>
        <v>8</v>
      </c>
      <c r="B177" s="299"/>
      <c r="C177" s="309">
        <v>0.83</v>
      </c>
      <c r="D177" s="299">
        <v>23</v>
      </c>
      <c r="E177" s="299">
        <v>125</v>
      </c>
      <c r="F177" s="299">
        <v>15</v>
      </c>
      <c r="G177" s="299">
        <v>1</v>
      </c>
      <c r="H177" s="299">
        <v>2</v>
      </c>
      <c r="I177" s="310">
        <v>1</v>
      </c>
    </row>
    <row r="178" spans="1:10" s="297" customFormat="1" x14ac:dyDescent="0.25">
      <c r="A178" s="305">
        <f t="shared" si="5"/>
        <v>9</v>
      </c>
      <c r="B178" s="299"/>
      <c r="C178" s="309">
        <v>1.29</v>
      </c>
      <c r="D178" s="299">
        <v>45</v>
      </c>
      <c r="E178" s="299">
        <v>777</v>
      </c>
      <c r="F178" s="299">
        <v>33</v>
      </c>
      <c r="G178" s="299">
        <v>8</v>
      </c>
      <c r="H178" s="299">
        <v>3</v>
      </c>
      <c r="I178" s="310">
        <v>1</v>
      </c>
    </row>
    <row r="179" spans="1:10" s="297" customFormat="1" x14ac:dyDescent="0.25">
      <c r="A179" s="305">
        <f t="shared" si="5"/>
        <v>10</v>
      </c>
      <c r="B179" s="299"/>
      <c r="C179" s="309">
        <v>0.83</v>
      </c>
      <c r="D179" s="299">
        <v>49</v>
      </c>
      <c r="E179" s="299">
        <v>453</v>
      </c>
      <c r="F179" s="299">
        <v>138</v>
      </c>
      <c r="G179" s="299">
        <v>7</v>
      </c>
      <c r="H179" s="299">
        <v>7</v>
      </c>
      <c r="I179" s="310">
        <v>1</v>
      </c>
    </row>
    <row r="180" spans="1:10" s="297" customFormat="1" x14ac:dyDescent="0.25">
      <c r="A180" s="305">
        <f t="shared" si="5"/>
        <v>11</v>
      </c>
      <c r="B180" s="299"/>
      <c r="C180" s="309">
        <v>1.03</v>
      </c>
      <c r="D180" s="299">
        <v>73</v>
      </c>
      <c r="E180" s="299">
        <v>452</v>
      </c>
      <c r="F180" s="299">
        <v>230</v>
      </c>
      <c r="G180" s="299">
        <v>7</v>
      </c>
      <c r="H180" s="299">
        <v>4</v>
      </c>
      <c r="I180" s="310">
        <v>1</v>
      </c>
    </row>
    <row r="181" spans="1:10" s="297" customFormat="1" ht="15.75" thickBot="1" x14ac:dyDescent="0.3">
      <c r="A181" s="334" t="s">
        <v>243</v>
      </c>
      <c r="B181" s="420"/>
      <c r="C181" s="335"/>
      <c r="D181" s="336"/>
      <c r="E181" s="336"/>
      <c r="F181" s="336"/>
      <c r="G181" s="336"/>
      <c r="H181" s="336"/>
      <c r="I181" s="337"/>
    </row>
    <row r="182" spans="1:10" s="147" customFormat="1" ht="15" customHeight="1" thickTop="1" x14ac:dyDescent="0.25">
      <c r="C182" s="288"/>
      <c r="D182" s="289" t="s">
        <v>153</v>
      </c>
      <c r="E182" s="290"/>
      <c r="F182" s="290"/>
      <c r="G182" s="290"/>
      <c r="H182" s="290"/>
      <c r="I182" s="291"/>
      <c r="J182" s="199"/>
    </row>
    <row r="183" spans="1:10" x14ac:dyDescent="0.25">
      <c r="C183" s="213" t="s">
        <v>260</v>
      </c>
      <c r="D183" s="213" t="s">
        <v>212</v>
      </c>
      <c r="E183" s="213" t="s">
        <v>212</v>
      </c>
      <c r="F183" s="213" t="s">
        <v>212</v>
      </c>
      <c r="G183" s="213" t="s">
        <v>212</v>
      </c>
      <c r="H183" s="213" t="s">
        <v>212</v>
      </c>
      <c r="I183" s="213" t="s">
        <v>212</v>
      </c>
      <c r="J183" s="199"/>
    </row>
    <row r="184" spans="1:10" x14ac:dyDescent="0.25">
      <c r="C184" s="211"/>
      <c r="D184" s="72" t="s">
        <v>147</v>
      </c>
      <c r="E184" s="72" t="s">
        <v>148</v>
      </c>
      <c r="F184" s="72" t="s">
        <v>149</v>
      </c>
      <c r="G184" s="72" t="s">
        <v>150</v>
      </c>
      <c r="H184" s="72" t="s">
        <v>151</v>
      </c>
      <c r="I184" s="72" t="s">
        <v>152</v>
      </c>
      <c r="J184" s="199"/>
    </row>
    <row r="185" spans="1:10" x14ac:dyDescent="0.25">
      <c r="C185" s="134">
        <f t="shared" ref="C185:I185" si="6">SUM(C170:C181)</f>
        <v>10.739999999999998</v>
      </c>
      <c r="D185" s="134">
        <f t="shared" si="6"/>
        <v>665</v>
      </c>
      <c r="E185" s="134">
        <f t="shared" si="6"/>
        <v>4685</v>
      </c>
      <c r="F185" s="134">
        <f t="shared" si="6"/>
        <v>2064</v>
      </c>
      <c r="G185" s="134">
        <f t="shared" si="6"/>
        <v>56</v>
      </c>
      <c r="H185" s="134">
        <f t="shared" si="6"/>
        <v>66</v>
      </c>
      <c r="I185" s="134">
        <f t="shared" si="6"/>
        <v>20</v>
      </c>
      <c r="J185" s="198"/>
    </row>
    <row r="186" spans="1:10" x14ac:dyDescent="0.25">
      <c r="A186" s="215" t="s">
        <v>261</v>
      </c>
      <c r="B186" s="215"/>
      <c r="C186" s="185"/>
      <c r="D186" s="185"/>
      <c r="E186" s="185"/>
      <c r="F186" s="185"/>
      <c r="G186" s="185"/>
      <c r="H186" s="185"/>
      <c r="I186" s="186"/>
      <c r="J186" s="198"/>
    </row>
    <row r="187" spans="1:10" x14ac:dyDescent="0.25">
      <c r="A187" s="185"/>
      <c r="B187" s="185"/>
      <c r="C187" s="185"/>
      <c r="D187" s="185"/>
      <c r="E187" s="185"/>
      <c r="F187" s="185"/>
      <c r="G187" s="185"/>
      <c r="H187" s="185"/>
      <c r="I187" s="186"/>
      <c r="J187" s="187"/>
    </row>
    <row r="188" spans="1:10" x14ac:dyDescent="0.25">
      <c r="A188" s="537" t="s">
        <v>214</v>
      </c>
      <c r="B188" s="537"/>
      <c r="C188" s="537"/>
      <c r="D188" s="537"/>
      <c r="E188" s="537"/>
      <c r="F188" s="537"/>
      <c r="G188" s="537"/>
      <c r="H188" s="57"/>
      <c r="I188" s="57"/>
      <c r="J188" s="57"/>
    </row>
    <row r="189" spans="1:10" ht="51.75" x14ac:dyDescent="0.25">
      <c r="A189" s="71" t="s">
        <v>55</v>
      </c>
      <c r="B189" s="72" t="s">
        <v>147</v>
      </c>
      <c r="C189" s="72" t="s">
        <v>148</v>
      </c>
      <c r="D189" s="72" t="s">
        <v>149</v>
      </c>
      <c r="E189" s="72" t="s">
        <v>150</v>
      </c>
      <c r="F189" s="72" t="s">
        <v>151</v>
      </c>
      <c r="G189" s="72" t="s">
        <v>152</v>
      </c>
      <c r="H189" s="70" t="s">
        <v>155</v>
      </c>
      <c r="I189" s="70" t="s">
        <v>154</v>
      </c>
    </row>
    <row r="190" spans="1:10" x14ac:dyDescent="0.25">
      <c r="A190" s="11">
        <f>F167</f>
        <v>2020</v>
      </c>
      <c r="B190" s="74">
        <f>($D145+$D148+$D161)/1000000</f>
        <v>7.8929177599999997E-2</v>
      </c>
      <c r="C190" s="74">
        <f>($E145+$E148+$E161)/1000000</f>
        <v>1.058290111125</v>
      </c>
      <c r="D190" s="74">
        <f>($F145+$F148+$F161)/1000000</f>
        <v>0.70708944900000004</v>
      </c>
      <c r="E190" s="74">
        <f>($G$145+$G$148+$G$161)/1000000</f>
        <v>4.5157419999999997E-2</v>
      </c>
      <c r="F190" s="74">
        <f>($H145+$H148+$H161)/1000000</f>
        <v>2.0004573000000001E-2</v>
      </c>
      <c r="G190" s="74">
        <f>($I145+$I148+$I161)/1000000</f>
        <v>1.8731036499999999E-2</v>
      </c>
      <c r="H190" s="74">
        <f>SUM(B190:G190)</f>
        <v>1.928201767225</v>
      </c>
      <c r="I190" s="103"/>
    </row>
    <row r="191" spans="1:10" x14ac:dyDescent="0.25">
      <c r="A191" s="252"/>
      <c r="B191" s="253">
        <f t="shared" ref="B191:G191" si="7">B190*$F168</f>
        <v>28.809149823999999</v>
      </c>
      <c r="C191" s="253">
        <f t="shared" si="7"/>
        <v>386.27589056062504</v>
      </c>
      <c r="D191" s="253">
        <f t="shared" si="7"/>
        <v>258.08764888500002</v>
      </c>
      <c r="E191" s="253">
        <f t="shared" si="7"/>
        <v>16.482458299999998</v>
      </c>
      <c r="F191" s="253">
        <f t="shared" si="7"/>
        <v>7.3016691450000009</v>
      </c>
      <c r="G191" s="253">
        <f t="shared" si="7"/>
        <v>6.8368283224999997</v>
      </c>
      <c r="H191" s="253"/>
      <c r="I191" s="254">
        <f>SUM(B191:G191)</f>
        <v>703.79364503712497</v>
      </c>
    </row>
    <row r="192" spans="1:10" x14ac:dyDescent="0.25">
      <c r="A192" s="99"/>
      <c r="B192" s="99"/>
      <c r="C192" s="99"/>
      <c r="D192" s="99"/>
      <c r="E192" s="99"/>
      <c r="F192" s="99"/>
      <c r="G192" s="99"/>
      <c r="H192" s="99"/>
      <c r="I192" s="99"/>
    </row>
    <row r="193" spans="1:10" x14ac:dyDescent="0.25">
      <c r="A193" s="99"/>
      <c r="B193" s="99"/>
      <c r="C193" s="99"/>
      <c r="D193" s="99"/>
      <c r="E193" s="99"/>
      <c r="F193" s="99"/>
      <c r="G193" s="99"/>
      <c r="H193" s="99"/>
      <c r="I193" s="99"/>
    </row>
    <row r="194" spans="1:10" s="297" customFormat="1" x14ac:dyDescent="0.25">
      <c r="J194"/>
    </row>
    <row r="196" spans="1:10" x14ac:dyDescent="0.25">
      <c r="J196" s="77"/>
    </row>
    <row r="197" spans="1:10" x14ac:dyDescent="0.25">
      <c r="J197" s="77"/>
    </row>
    <row r="198" spans="1:10" x14ac:dyDescent="0.25">
      <c r="J198" s="77"/>
    </row>
    <row r="288" spans="10:10" x14ac:dyDescent="0.25">
      <c r="J288" s="77"/>
    </row>
    <row r="310" ht="15" customHeight="1" x14ac:dyDescent="0.25"/>
  </sheetData>
  <sheetProtection algorithmName="SHA-512" hashValue="S+5DIUbilp11fFAoFTE08CSldn7o5xkE5nHHVYeC4PxIzsIyF8H5PN3DpWl03jFdO44HpYdrFeCQq9zFx5SqRA==" saltValue="g8wntBwEkB5GQLtMrnx42w==" spinCount="100000" sheet="1" insertRows="0" selectLockedCells="1"/>
  <protectedRanges>
    <protectedRange sqref="E42 E43:G43 E44:F44 F45 E46:F46 E47:G47" name="Vehicle Fleet Characteristics_1"/>
  </protectedRanges>
  <mergeCells count="11">
    <mergeCell ref="A188:G188"/>
    <mergeCell ref="C9:D9"/>
    <mergeCell ref="H9:I9"/>
    <mergeCell ref="C10:G10"/>
    <mergeCell ref="C166:F166"/>
    <mergeCell ref="A7:B7"/>
    <mergeCell ref="A1:I1"/>
    <mergeCell ref="A3:B3"/>
    <mergeCell ref="A4:B4"/>
    <mergeCell ref="A5:B5"/>
    <mergeCell ref="A6:B6"/>
  </mergeCells>
  <pageMargins left="0.43307086614173229" right="0.23622047244094491" top="0.87009803921568629" bottom="0.74803149606299213" header="0.31496062992125984" footer="0.31496062992125984"/>
  <pageSetup paperSize="9" orientation="portrait" r:id="rId1"/>
  <headerFooter>
    <oddHeader>&amp;LMALAYSIAN GREEN TECHNOLOGY AND CLIMATE CHANGE CORPORATION (MGTC)&amp;RMGTC/DC/REC/LCC-011
Version:  1/ JUNE 2022</oddHeader>
    <oddFooter>&amp;L
&amp;A&amp;R
Page &amp;P of &amp;N</oddFoot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E3BAC-F8D1-45A4-B0A7-6D3296C94AD8}">
  <sheetPr>
    <tabColor rgb="FF3333FF"/>
  </sheetPr>
  <dimension ref="A1:N310"/>
  <sheetViews>
    <sheetView view="pageLayout" zoomScale="85" zoomScaleNormal="100" zoomScalePageLayoutView="85" workbookViewId="0">
      <selection activeCell="F167" sqref="F167"/>
    </sheetView>
  </sheetViews>
  <sheetFormatPr defaultColWidth="9.140625" defaultRowHeight="15" x14ac:dyDescent="0.25"/>
  <cols>
    <col min="1" max="1" width="6.85546875" customWidth="1"/>
    <col min="2" max="2" width="20.7109375" customWidth="1"/>
    <col min="3" max="3" width="10.5703125" customWidth="1"/>
    <col min="4" max="7" width="9.5703125" customWidth="1"/>
    <col min="8" max="9" width="10.140625" customWidth="1"/>
    <col min="10" max="10" width="12.42578125" customWidth="1"/>
  </cols>
  <sheetData>
    <row r="1" spans="1:10" ht="16.5" thickBot="1" x14ac:dyDescent="0.3">
      <c r="A1" s="475" t="s">
        <v>136</v>
      </c>
      <c r="B1" s="476"/>
      <c r="C1" s="476"/>
      <c r="D1" s="476"/>
      <c r="E1" s="476"/>
      <c r="F1" s="476"/>
      <c r="G1" s="476"/>
      <c r="H1" s="476"/>
      <c r="I1" s="477"/>
    </row>
    <row r="2" spans="1:10" ht="6.75" customHeight="1" x14ac:dyDescent="0.25"/>
    <row r="3" spans="1:10" x14ac:dyDescent="0.25">
      <c r="A3" s="470" t="s">
        <v>27</v>
      </c>
      <c r="B3" s="470"/>
      <c r="C3" s="423" t="str">
        <f>'Summary (Main)'!D11</f>
        <v>LCC-Z-B090-XX-XXXX</v>
      </c>
      <c r="D3" s="423"/>
      <c r="E3" s="423"/>
      <c r="F3" s="423"/>
      <c r="G3" s="423"/>
      <c r="H3" s="423"/>
      <c r="I3" s="423"/>
    </row>
    <row r="4" spans="1:10" x14ac:dyDescent="0.25">
      <c r="A4" s="470" t="s">
        <v>78</v>
      </c>
      <c r="B4" s="470"/>
      <c r="C4" s="423" t="str">
        <f>'Summary (Main)'!D12</f>
        <v>MAJLIS PERBANDARAN XXY</v>
      </c>
      <c r="D4" s="423"/>
      <c r="E4" s="423"/>
      <c r="F4" s="423"/>
      <c r="G4" s="423"/>
      <c r="H4" s="423"/>
      <c r="I4" s="423"/>
    </row>
    <row r="5" spans="1:10" x14ac:dyDescent="0.25">
      <c r="A5" s="470" t="s">
        <v>0</v>
      </c>
      <c r="B5" s="470"/>
      <c r="C5" s="423" t="str">
        <f>'Summary (Main)'!D13</f>
        <v>MAJLIS PERBANDARAN XXY</v>
      </c>
      <c r="D5" s="423"/>
      <c r="E5" s="423"/>
      <c r="F5" s="423"/>
      <c r="G5" s="423"/>
      <c r="H5" s="423"/>
      <c r="I5" s="423"/>
    </row>
    <row r="6" spans="1:10" x14ac:dyDescent="0.25">
      <c r="A6" s="470" t="s">
        <v>129</v>
      </c>
      <c r="B6" s="470"/>
      <c r="C6" s="423">
        <f>'Summary (Main)'!D14</f>
        <v>77432</v>
      </c>
      <c r="D6" s="423"/>
      <c r="E6" s="423"/>
      <c r="F6" s="423"/>
      <c r="G6" s="423"/>
      <c r="H6" s="423"/>
      <c r="I6" s="423"/>
    </row>
    <row r="7" spans="1:10" x14ac:dyDescent="0.25">
      <c r="A7" s="470" t="s">
        <v>137</v>
      </c>
      <c r="B7" s="470"/>
      <c r="C7" s="423">
        <f>'Summary (Main)'!D15</f>
        <v>451.36</v>
      </c>
      <c r="D7" s="423"/>
      <c r="E7" s="423"/>
      <c r="F7" s="423"/>
      <c r="G7" s="423"/>
      <c r="H7" s="423"/>
      <c r="I7" s="423"/>
    </row>
    <row r="8" spans="1:10" ht="6.75" customHeight="1" x14ac:dyDescent="0.25">
      <c r="A8" s="5"/>
      <c r="B8" s="5"/>
      <c r="C8" s="5"/>
      <c r="D8" s="5"/>
    </row>
    <row r="9" spans="1:10" x14ac:dyDescent="0.25">
      <c r="A9" s="1" t="s">
        <v>7</v>
      </c>
      <c r="B9" s="1"/>
      <c r="C9" s="580" t="s">
        <v>240</v>
      </c>
      <c r="D9" s="585"/>
      <c r="E9" s="581"/>
      <c r="F9" s="1" t="s">
        <v>12</v>
      </c>
      <c r="G9" s="1"/>
      <c r="H9" s="501" t="s">
        <v>60</v>
      </c>
      <c r="I9" s="502"/>
      <c r="J9" s="194"/>
    </row>
    <row r="10" spans="1:10" x14ac:dyDescent="0.25">
      <c r="A10" s="1" t="s">
        <v>6</v>
      </c>
      <c r="B10" s="1"/>
      <c r="C10" s="514" t="s">
        <v>139</v>
      </c>
      <c r="D10" s="515"/>
      <c r="E10" s="515"/>
      <c r="F10" s="515"/>
      <c r="G10" s="516"/>
    </row>
    <row r="11" spans="1:10" ht="15" hidden="1" customHeight="1" x14ac:dyDescent="0.25">
      <c r="A11" s="190" t="s">
        <v>127</v>
      </c>
      <c r="B11" s="190"/>
      <c r="C11" s="178" t="s">
        <v>245</v>
      </c>
      <c r="D11" s="178"/>
      <c r="E11" s="178"/>
      <c r="F11" s="178"/>
      <c r="G11" s="178"/>
      <c r="H11" s="178"/>
      <c r="I11" s="178"/>
      <c r="J11" s="178"/>
    </row>
    <row r="12" spans="1:10" ht="15" hidden="1" customHeight="1" x14ac:dyDescent="0.25">
      <c r="A12" s="1" t="s">
        <v>9</v>
      </c>
      <c r="B12" s="1"/>
      <c r="D12" t="s">
        <v>68</v>
      </c>
      <c r="F12" s="13">
        <f>'Mobility 2 - Estimate'!G13</f>
        <v>1.92</v>
      </c>
      <c r="G12" t="s">
        <v>71</v>
      </c>
      <c r="I12" s="194" t="s">
        <v>72</v>
      </c>
      <c r="J12" s="194"/>
    </row>
    <row r="13" spans="1:10" ht="15" hidden="1" customHeight="1" x14ac:dyDescent="0.25">
      <c r="D13" t="s">
        <v>69</v>
      </c>
      <c r="F13" s="13">
        <f>'Mobility 2 - Estimate'!G14</f>
        <v>2.74</v>
      </c>
      <c r="G13" t="s">
        <v>71</v>
      </c>
      <c r="I13" s="194" t="s">
        <v>72</v>
      </c>
      <c r="J13" s="194"/>
    </row>
    <row r="14" spans="1:10" ht="15" hidden="1" customHeight="1" x14ac:dyDescent="0.25">
      <c r="D14" t="s">
        <v>70</v>
      </c>
      <c r="F14" s="13">
        <f>'Mobility 2 - Estimate'!G15</f>
        <v>59.19</v>
      </c>
      <c r="G14" t="s">
        <v>81</v>
      </c>
      <c r="I14" s="194" t="s">
        <v>72</v>
      </c>
      <c r="J14" s="194"/>
    </row>
    <row r="15" spans="1:10" ht="15" hidden="1" customHeight="1" x14ac:dyDescent="0.25">
      <c r="D15" t="s">
        <v>61</v>
      </c>
      <c r="F15" s="13">
        <f>'Mobility 2 - Estimate'!G16</f>
        <v>0.18368000000000001</v>
      </c>
      <c r="G15" t="s">
        <v>62</v>
      </c>
      <c r="I15" s="194" t="s">
        <v>63</v>
      </c>
      <c r="J15" s="194"/>
    </row>
    <row r="16" spans="1:10" ht="15" hidden="1" customHeight="1" x14ac:dyDescent="0.25">
      <c r="D16" t="s">
        <v>64</v>
      </c>
      <c r="F16" s="13">
        <f>'Mobility 2 - Estimate'!G17</f>
        <v>0.11529</v>
      </c>
      <c r="G16" t="s">
        <v>62</v>
      </c>
      <c r="I16" s="194" t="s">
        <v>63</v>
      </c>
      <c r="J16" s="194"/>
    </row>
    <row r="17" spans="4:10" ht="15" hidden="1" customHeight="1" x14ac:dyDescent="0.25">
      <c r="D17" t="s">
        <v>65</v>
      </c>
      <c r="F17" s="13">
        <f>'Mobility 2 - Estimate'!G18</f>
        <v>0.79100000000000004</v>
      </c>
      <c r="G17" t="s">
        <v>62</v>
      </c>
      <c r="I17" s="194" t="s">
        <v>66</v>
      </c>
      <c r="J17" s="194"/>
    </row>
    <row r="18" spans="4:10" ht="15" hidden="1" customHeight="1" x14ac:dyDescent="0.25">
      <c r="D18" s="204" t="s">
        <v>250</v>
      </c>
      <c r="E18" s="6"/>
      <c r="F18" s="13">
        <f>'Mobility 2 - Estimate'!G19</f>
        <v>59.4</v>
      </c>
      <c r="G18" s="3" t="s">
        <v>182</v>
      </c>
      <c r="H18" s="3"/>
      <c r="I18" s="182"/>
      <c r="J18" s="182"/>
    </row>
    <row r="19" spans="4:10" ht="15" hidden="1" customHeight="1" x14ac:dyDescent="0.25">
      <c r="D19" s="6" t="s">
        <v>183</v>
      </c>
      <c r="E19" s="6"/>
      <c r="F19" s="13">
        <f>'Mobility 2 - Estimate'!G20</f>
        <v>98.8</v>
      </c>
      <c r="G19" s="3" t="s">
        <v>182</v>
      </c>
      <c r="H19" s="3"/>
      <c r="I19" s="182"/>
      <c r="J19" s="182"/>
    </row>
    <row r="20" spans="4:10" ht="15" hidden="1" customHeight="1" x14ac:dyDescent="0.25">
      <c r="D20" s="6" t="s">
        <v>184</v>
      </c>
      <c r="E20" s="6"/>
      <c r="F20" s="13">
        <f>'Mobility 2 - Estimate'!G21</f>
        <v>125</v>
      </c>
      <c r="G20" s="3" t="s">
        <v>182</v>
      </c>
      <c r="H20" s="3"/>
      <c r="I20" s="182"/>
      <c r="J20" s="182"/>
    </row>
    <row r="21" spans="4:10" ht="15" hidden="1" customHeight="1" x14ac:dyDescent="0.25">
      <c r="D21" s="204" t="s">
        <v>255</v>
      </c>
      <c r="E21" s="6"/>
      <c r="F21" s="13">
        <f>'Mobility 2 - Estimate'!G22</f>
        <v>273</v>
      </c>
      <c r="G21" s="3" t="s">
        <v>182</v>
      </c>
      <c r="H21" s="3"/>
      <c r="I21" s="182"/>
      <c r="J21" s="182"/>
    </row>
    <row r="22" spans="4:10" ht="15" hidden="1" customHeight="1" x14ac:dyDescent="0.25">
      <c r="D22" s="204" t="s">
        <v>254</v>
      </c>
      <c r="E22" s="6"/>
      <c r="F22" s="13">
        <f>'Mobility 2 - Estimate'!G23</f>
        <v>228</v>
      </c>
      <c r="G22" s="3" t="s">
        <v>182</v>
      </c>
      <c r="H22" s="3"/>
      <c r="I22" s="182"/>
      <c r="J22" s="182"/>
    </row>
    <row r="23" spans="4:10" ht="15" hidden="1" customHeight="1" x14ac:dyDescent="0.25">
      <c r="D23" s="204" t="s">
        <v>253</v>
      </c>
      <c r="E23" s="6"/>
      <c r="F23" s="13">
        <f>'Mobility 2 - Estimate'!G24</f>
        <v>203</v>
      </c>
      <c r="G23" s="3" t="s">
        <v>182</v>
      </c>
      <c r="H23" s="3"/>
      <c r="I23" s="182"/>
      <c r="J23" s="182"/>
    </row>
    <row r="24" spans="4:10" ht="15" hidden="1" customHeight="1" x14ac:dyDescent="0.25">
      <c r="D24" s="6" t="s">
        <v>185</v>
      </c>
      <c r="E24" s="6"/>
      <c r="F24" s="13">
        <f>'Mobility 2 - Estimate'!G25</f>
        <v>193</v>
      </c>
      <c r="G24" s="3" t="s">
        <v>182</v>
      </c>
      <c r="H24" s="3"/>
      <c r="I24" s="182"/>
      <c r="J24" s="182"/>
    </row>
    <row r="25" spans="4:10" ht="15" hidden="1" customHeight="1" x14ac:dyDescent="0.25">
      <c r="D25" s="6" t="s">
        <v>186</v>
      </c>
      <c r="E25" s="6"/>
      <c r="F25" s="13">
        <f>'Mobility 2 - Estimate'!G26</f>
        <v>221</v>
      </c>
      <c r="G25" s="3" t="s">
        <v>182</v>
      </c>
      <c r="H25" s="3"/>
      <c r="I25" s="182"/>
      <c r="J25" s="182"/>
    </row>
    <row r="26" spans="4:10" ht="15" hidden="1" customHeight="1" x14ac:dyDescent="0.25">
      <c r="D26" s="113" t="s">
        <v>208</v>
      </c>
      <c r="E26" s="6"/>
      <c r="F26" s="13">
        <f>'Mobility 2 - Estimate'!G27</f>
        <v>379</v>
      </c>
      <c r="G26" s="3" t="s">
        <v>182</v>
      </c>
      <c r="H26" s="3"/>
      <c r="I26" s="182"/>
      <c r="J26" s="182"/>
    </row>
    <row r="27" spans="4:10" ht="15" hidden="1" customHeight="1" x14ac:dyDescent="0.25">
      <c r="D27" s="113" t="s">
        <v>209</v>
      </c>
      <c r="E27" s="6"/>
      <c r="F27" s="13">
        <f>'Mobility 2 - Estimate'!G28</f>
        <v>148</v>
      </c>
      <c r="G27" s="3" t="s">
        <v>182</v>
      </c>
      <c r="H27" s="3"/>
      <c r="I27" s="182"/>
      <c r="J27" s="182"/>
    </row>
    <row r="28" spans="4:10" ht="15" hidden="1" customHeight="1" x14ac:dyDescent="0.25">
      <c r="D28" s="6" t="s">
        <v>187</v>
      </c>
      <c r="E28" s="6"/>
      <c r="F28" s="13">
        <f>'Mobility 2 - Estimate'!G29</f>
        <v>329</v>
      </c>
      <c r="G28" s="3" t="s">
        <v>182</v>
      </c>
      <c r="H28" s="3"/>
      <c r="I28" s="182"/>
      <c r="J28" s="182"/>
    </row>
    <row r="29" spans="4:10" ht="15" hidden="1" customHeight="1" x14ac:dyDescent="0.25">
      <c r="D29" s="113" t="s">
        <v>211</v>
      </c>
      <c r="E29" s="6"/>
      <c r="F29" s="13">
        <f>'Mobility 2 - Estimate'!G30</f>
        <v>286</v>
      </c>
      <c r="G29" s="3" t="s">
        <v>182</v>
      </c>
      <c r="H29" s="3"/>
      <c r="I29" s="182"/>
      <c r="J29" s="182"/>
    </row>
    <row r="30" spans="4:10" ht="15" hidden="1" customHeight="1" x14ac:dyDescent="0.25">
      <c r="D30" s="6" t="s">
        <v>188</v>
      </c>
      <c r="E30" s="6"/>
      <c r="F30" s="13">
        <f>'Mobility 2 - Estimate'!G31</f>
        <v>781</v>
      </c>
      <c r="G30" s="3" t="s">
        <v>182</v>
      </c>
      <c r="H30" s="3"/>
      <c r="I30" s="182"/>
      <c r="J30" s="182"/>
    </row>
    <row r="31" spans="4:10" ht="15" hidden="1" customHeight="1" x14ac:dyDescent="0.25">
      <c r="D31" s="113" t="s">
        <v>205</v>
      </c>
      <c r="E31" s="6"/>
      <c r="F31" s="13">
        <f>'Mobility 2 - Estimate'!G32</f>
        <v>329</v>
      </c>
      <c r="G31" s="3" t="s">
        <v>182</v>
      </c>
      <c r="H31" s="3"/>
      <c r="I31" s="182"/>
      <c r="J31" s="182"/>
    </row>
    <row r="32" spans="4:10" ht="15" hidden="1" customHeight="1" x14ac:dyDescent="0.25">
      <c r="D32" s="6" t="s">
        <v>189</v>
      </c>
      <c r="E32" s="6"/>
      <c r="F32" s="13">
        <f>'Mobility 2 - Estimate'!G33</f>
        <v>286</v>
      </c>
      <c r="G32" s="3" t="s">
        <v>182</v>
      </c>
      <c r="H32" s="3"/>
      <c r="I32" s="182"/>
      <c r="J32" s="182"/>
    </row>
    <row r="33" spans="1:10" ht="15" hidden="1" customHeight="1" x14ac:dyDescent="0.25">
      <c r="D33" s="6" t="s">
        <v>190</v>
      </c>
      <c r="E33" s="6"/>
      <c r="F33" s="13">
        <f>'Mobility 2 - Estimate'!G34</f>
        <v>781</v>
      </c>
      <c r="G33" s="3" t="s">
        <v>182</v>
      </c>
      <c r="H33" s="3"/>
      <c r="I33" s="182"/>
      <c r="J33" s="182"/>
    </row>
    <row r="34" spans="1:10" ht="15" hidden="1" customHeight="1" x14ac:dyDescent="0.25">
      <c r="D34" s="204" t="s">
        <v>256</v>
      </c>
      <c r="E34" s="6"/>
      <c r="F34" s="13">
        <f>'Mobility 2 - Estimate'!G35</f>
        <v>1110</v>
      </c>
      <c r="G34" s="3" t="s">
        <v>182</v>
      </c>
      <c r="H34" s="3"/>
      <c r="I34" s="182"/>
      <c r="J34" s="182"/>
    </row>
    <row r="35" spans="1:10" ht="15" hidden="1" customHeight="1" x14ac:dyDescent="0.25">
      <c r="D35" s="204" t="s">
        <v>257</v>
      </c>
      <c r="E35" s="6"/>
      <c r="F35" s="13">
        <f>'Mobility 2 - Estimate'!G36</f>
        <v>613</v>
      </c>
      <c r="G35" s="3" t="s">
        <v>182</v>
      </c>
      <c r="H35" s="3"/>
      <c r="I35" s="182"/>
      <c r="J35" s="182"/>
    </row>
    <row r="36" spans="1:10" ht="15" hidden="1" customHeight="1" x14ac:dyDescent="0.25">
      <c r="D36" s="204" t="s">
        <v>258</v>
      </c>
      <c r="E36" s="6"/>
      <c r="F36" s="13">
        <f>'Mobility 2 - Estimate'!G37</f>
        <v>1200</v>
      </c>
      <c r="G36" s="3" t="s">
        <v>182</v>
      </c>
      <c r="H36" s="3"/>
      <c r="I36" s="182"/>
      <c r="J36" s="182"/>
    </row>
    <row r="37" spans="1:10" ht="15" hidden="1" customHeight="1" x14ac:dyDescent="0.25">
      <c r="D37" s="204" t="s">
        <v>259</v>
      </c>
      <c r="E37" s="6"/>
      <c r="F37" s="13">
        <f>'Mobility 2 - Estimate'!G38</f>
        <v>909</v>
      </c>
      <c r="G37" s="3" t="s">
        <v>182</v>
      </c>
      <c r="H37" s="3"/>
      <c r="I37" s="182"/>
      <c r="J37" s="182"/>
    </row>
    <row r="38" spans="1:10" ht="14.25" hidden="1" customHeight="1" x14ac:dyDescent="0.25">
      <c r="A38" s="1"/>
      <c r="B38" s="1"/>
      <c r="D38" s="6"/>
      <c r="G38" s="3"/>
      <c r="H38" s="3"/>
      <c r="I38" s="182"/>
      <c r="J38" s="182"/>
    </row>
    <row r="39" spans="1:10" s="189" customFormat="1" ht="15" hidden="1" customHeight="1" x14ac:dyDescent="0.25">
      <c r="A39" s="47" t="s">
        <v>127</v>
      </c>
      <c r="B39" s="47"/>
      <c r="C39" s="43" t="s">
        <v>246</v>
      </c>
      <c r="D39" s="190"/>
      <c r="E39" s="190"/>
      <c r="F39" s="191"/>
      <c r="G39" s="192"/>
      <c r="H39" s="192"/>
      <c r="I39" s="193"/>
      <c r="J39" s="193"/>
    </row>
    <row r="40" spans="1:10" s="172" customFormat="1" ht="15" hidden="1" customHeight="1" x14ac:dyDescent="0.25">
      <c r="A40" s="47" t="s">
        <v>127</v>
      </c>
      <c r="B40" s="47"/>
      <c r="C40" s="43" t="s">
        <v>215</v>
      </c>
      <c r="D40" s="173"/>
      <c r="E40" s="173"/>
      <c r="F40" s="174"/>
      <c r="G40" s="175"/>
      <c r="H40" s="175"/>
      <c r="I40" s="176"/>
      <c r="J40" s="176"/>
    </row>
    <row r="41" spans="1:10" ht="33.75" hidden="1" customHeight="1" x14ac:dyDescent="0.25">
      <c r="C41" s="158">
        <v>2</v>
      </c>
      <c r="D41" s="171" t="s">
        <v>216</v>
      </c>
      <c r="E41" s="155" t="s">
        <v>166</v>
      </c>
      <c r="F41" s="155" t="s">
        <v>69</v>
      </c>
      <c r="G41" s="155" t="s">
        <v>70</v>
      </c>
      <c r="H41" s="159" t="s">
        <v>220</v>
      </c>
      <c r="I41" s="182"/>
      <c r="J41" s="182"/>
    </row>
    <row r="42" spans="1:10" ht="15" hidden="1" customHeight="1" x14ac:dyDescent="0.25">
      <c r="D42" s="156" t="s">
        <v>147</v>
      </c>
      <c r="E42" s="162">
        <v>100</v>
      </c>
      <c r="F42" s="157"/>
      <c r="G42" s="157"/>
      <c r="H42" s="169">
        <f>SUM(E42)</f>
        <v>100</v>
      </c>
      <c r="I42" s="182"/>
      <c r="J42" s="182"/>
    </row>
    <row r="43" spans="1:10" ht="15" hidden="1" customHeight="1" x14ac:dyDescent="0.25">
      <c r="D43" s="156" t="s">
        <v>217</v>
      </c>
      <c r="E43" s="162">
        <v>95</v>
      </c>
      <c r="F43" s="162">
        <v>0</v>
      </c>
      <c r="G43" s="162">
        <v>5</v>
      </c>
      <c r="H43" s="169">
        <f>SUM(E43:G43)</f>
        <v>100</v>
      </c>
      <c r="I43" s="182"/>
      <c r="J43" s="182"/>
    </row>
    <row r="44" spans="1:10" ht="15" hidden="1" customHeight="1" x14ac:dyDescent="0.25">
      <c r="D44" s="156" t="s">
        <v>149</v>
      </c>
      <c r="E44" s="162">
        <v>90</v>
      </c>
      <c r="F44" s="162">
        <v>10</v>
      </c>
      <c r="G44" s="157"/>
      <c r="H44" s="169">
        <f>SUM(E44:F44)</f>
        <v>100</v>
      </c>
      <c r="I44" s="182"/>
      <c r="J44" s="182"/>
    </row>
    <row r="45" spans="1:10" ht="15" hidden="1" customHeight="1" x14ac:dyDescent="0.25">
      <c r="D45" s="156" t="s">
        <v>150</v>
      </c>
      <c r="E45" s="157"/>
      <c r="F45" s="162">
        <v>100</v>
      </c>
      <c r="G45" s="157"/>
      <c r="H45" s="169">
        <f>SUM(E45:G45)</f>
        <v>100</v>
      </c>
      <c r="I45" s="182"/>
      <c r="J45" s="182"/>
    </row>
    <row r="46" spans="1:10" ht="15" hidden="1" customHeight="1" x14ac:dyDescent="0.25">
      <c r="D46" s="156" t="s">
        <v>218</v>
      </c>
      <c r="E46" s="162">
        <v>10</v>
      </c>
      <c r="F46" s="162">
        <v>90</v>
      </c>
      <c r="G46" s="157"/>
      <c r="H46" s="169">
        <f>SUM(E46:G46)</f>
        <v>100</v>
      </c>
      <c r="I46" s="182"/>
      <c r="J46" s="182"/>
    </row>
    <row r="47" spans="1:10" ht="15" hidden="1" customHeight="1" x14ac:dyDescent="0.25">
      <c r="D47" s="156" t="s">
        <v>219</v>
      </c>
      <c r="E47" s="162">
        <v>0</v>
      </c>
      <c r="F47" s="162">
        <v>90</v>
      </c>
      <c r="G47" s="162">
        <v>10</v>
      </c>
      <c r="H47" s="169">
        <f>SUM(E47:G47)</f>
        <v>100</v>
      </c>
      <c r="I47" s="182"/>
      <c r="J47" s="182"/>
    </row>
    <row r="48" spans="1:10" ht="15" hidden="1" customHeight="1" x14ac:dyDescent="0.25">
      <c r="D48" s="6"/>
      <c r="E48" s="6"/>
      <c r="F48" s="13"/>
      <c r="G48" s="3"/>
      <c r="H48" s="3"/>
      <c r="I48" s="182"/>
      <c r="J48" s="182"/>
    </row>
    <row r="49" spans="3:14" ht="15" hidden="1" customHeight="1" x14ac:dyDescent="0.25">
      <c r="C49" s="164">
        <v>3</v>
      </c>
      <c r="D49" s="5" t="s">
        <v>229</v>
      </c>
      <c r="E49" s="6"/>
      <c r="F49" s="13"/>
      <c r="G49" s="3"/>
      <c r="H49" s="3"/>
      <c r="I49" s="182"/>
      <c r="J49" s="182"/>
    </row>
    <row r="50" spans="3:14" s="151" customFormat="1" ht="51" hidden="1" customHeight="1" x14ac:dyDescent="0.2">
      <c r="D50" s="165" t="s">
        <v>221</v>
      </c>
      <c r="E50" s="163" t="s">
        <v>206</v>
      </c>
      <c r="F50" s="163" t="s">
        <v>222</v>
      </c>
      <c r="G50" s="163" t="s">
        <v>223</v>
      </c>
      <c r="H50" s="163" t="s">
        <v>224</v>
      </c>
      <c r="I50" s="163" t="s">
        <v>225</v>
      </c>
      <c r="J50" s="163" t="s">
        <v>226</v>
      </c>
      <c r="K50" s="163" t="s">
        <v>227</v>
      </c>
      <c r="L50" s="163" t="s">
        <v>167</v>
      </c>
      <c r="M50" s="163" t="s">
        <v>168</v>
      </c>
      <c r="N50" s="163" t="s">
        <v>228</v>
      </c>
    </row>
    <row r="51" spans="3:14" ht="15" hidden="1" customHeight="1" x14ac:dyDescent="0.25">
      <c r="D51" s="162" t="s">
        <v>147</v>
      </c>
      <c r="E51" s="157"/>
      <c r="F51" s="157"/>
      <c r="G51" s="157"/>
      <c r="H51" s="157"/>
      <c r="I51" s="157"/>
      <c r="J51" s="157"/>
      <c r="K51" s="162">
        <v>5</v>
      </c>
      <c r="L51" s="162">
        <v>20</v>
      </c>
      <c r="M51" s="162">
        <v>75</v>
      </c>
      <c r="N51" s="170">
        <f>SUM(K51:M51)</f>
        <v>100</v>
      </c>
    </row>
    <row r="52" spans="3:14" ht="15" hidden="1" customHeight="1" x14ac:dyDescent="0.25">
      <c r="D52" s="162" t="s">
        <v>217</v>
      </c>
      <c r="E52" s="162">
        <v>5</v>
      </c>
      <c r="F52" s="157"/>
      <c r="G52" s="162">
        <v>5</v>
      </c>
      <c r="H52" s="162">
        <v>10</v>
      </c>
      <c r="I52" s="162">
        <v>30</v>
      </c>
      <c r="J52" s="162">
        <v>50</v>
      </c>
      <c r="K52" s="157"/>
      <c r="L52" s="157"/>
      <c r="M52" s="157"/>
      <c r="N52" s="170">
        <f>SUM(E52,G52:J52)</f>
        <v>100</v>
      </c>
    </row>
    <row r="53" spans="3:14" ht="15" hidden="1" customHeight="1" x14ac:dyDescent="0.25">
      <c r="D53" s="162" t="s">
        <v>149</v>
      </c>
      <c r="E53" s="157"/>
      <c r="F53" s="162">
        <v>100</v>
      </c>
      <c r="G53" s="157"/>
      <c r="H53" s="157"/>
      <c r="I53" s="157"/>
      <c r="J53" s="157"/>
      <c r="K53" s="157"/>
      <c r="L53" s="157"/>
      <c r="M53" s="157"/>
      <c r="N53" s="170">
        <f>SUM(F53)</f>
        <v>100</v>
      </c>
    </row>
    <row r="54" spans="3:14" ht="15" hidden="1" customHeight="1" x14ac:dyDescent="0.25">
      <c r="D54" s="162" t="s">
        <v>150</v>
      </c>
      <c r="E54" s="157"/>
      <c r="F54" s="157"/>
      <c r="G54" s="157"/>
      <c r="H54" s="157"/>
      <c r="I54" s="157"/>
      <c r="J54" s="157"/>
      <c r="K54" s="157"/>
      <c r="L54" s="157"/>
      <c r="M54" s="157"/>
      <c r="N54" s="170">
        <v>0</v>
      </c>
    </row>
    <row r="55" spans="3:14" ht="15" hidden="1" customHeight="1" x14ac:dyDescent="0.25">
      <c r="D55" s="162" t="s">
        <v>218</v>
      </c>
      <c r="E55" s="157"/>
      <c r="F55" s="162">
        <v>100</v>
      </c>
      <c r="G55" s="157"/>
      <c r="H55" s="157"/>
      <c r="I55" s="157"/>
      <c r="J55" s="157"/>
      <c r="K55" s="157"/>
      <c r="L55" s="157"/>
      <c r="M55" s="157"/>
      <c r="N55" s="170">
        <f>SUM(F55)</f>
        <v>100</v>
      </c>
    </row>
    <row r="56" spans="3:14" ht="15" hidden="1" customHeight="1" x14ac:dyDescent="0.25">
      <c r="D56" s="162" t="s">
        <v>219</v>
      </c>
      <c r="E56" s="162">
        <f xml:space="preserve"> [1]Fleet!D34/100 * [1]Calc1!D37</f>
        <v>0</v>
      </c>
      <c r="F56" s="157"/>
      <c r="G56" s="157"/>
      <c r="H56" s="157"/>
      <c r="I56" s="157"/>
      <c r="J56" s="157"/>
      <c r="K56" s="157"/>
      <c r="L56" s="157"/>
      <c r="M56" s="157"/>
      <c r="N56" s="170">
        <f>SUM(E56)</f>
        <v>0</v>
      </c>
    </row>
    <row r="57" spans="3:14" ht="15" hidden="1" customHeight="1" x14ac:dyDescent="0.25">
      <c r="D57" s="5" t="s">
        <v>232</v>
      </c>
      <c r="E57" s="6"/>
      <c r="F57" s="13"/>
      <c r="G57" s="3"/>
      <c r="H57" s="3"/>
      <c r="I57" s="182"/>
      <c r="J57" s="182"/>
    </row>
    <row r="58" spans="3:14" ht="60" hidden="1" customHeight="1" x14ac:dyDescent="0.25">
      <c r="D58" s="160" t="s">
        <v>230</v>
      </c>
      <c r="E58" s="161" t="s">
        <v>222</v>
      </c>
      <c r="F58" s="161" t="s">
        <v>231</v>
      </c>
      <c r="G58" s="3"/>
      <c r="H58" s="3"/>
      <c r="I58" s="182"/>
      <c r="J58" s="182"/>
    </row>
    <row r="59" spans="3:14" ht="15" hidden="1" customHeight="1" x14ac:dyDescent="0.25">
      <c r="D59" s="162" t="s">
        <v>147</v>
      </c>
      <c r="E59" s="157"/>
      <c r="F59" s="169">
        <v>0</v>
      </c>
      <c r="G59" s="3"/>
      <c r="H59" s="3"/>
      <c r="I59" s="182"/>
      <c r="J59" s="182"/>
    </row>
    <row r="60" spans="3:14" ht="15" hidden="1" customHeight="1" x14ac:dyDescent="0.25">
      <c r="D60" s="162" t="s">
        <v>217</v>
      </c>
      <c r="E60" s="162">
        <f xml:space="preserve"> [1]Fleet!D40/100 * [1]Calc1!E33</f>
        <v>0</v>
      </c>
      <c r="F60" s="169">
        <f>SUM(E60)</f>
        <v>0</v>
      </c>
      <c r="G60" s="3"/>
      <c r="H60" s="3"/>
      <c r="I60" s="182"/>
      <c r="J60" s="182"/>
    </row>
    <row r="61" spans="3:14" ht="15" hidden="1" customHeight="1" x14ac:dyDescent="0.25">
      <c r="D61" s="162" t="s">
        <v>149</v>
      </c>
      <c r="E61" s="162">
        <v>100</v>
      </c>
      <c r="F61" s="169">
        <f>SUM(E61)</f>
        <v>100</v>
      </c>
      <c r="G61" s="3"/>
      <c r="H61" s="3"/>
      <c r="I61" s="182"/>
      <c r="J61" s="182"/>
    </row>
    <row r="62" spans="3:14" ht="15" hidden="1" customHeight="1" x14ac:dyDescent="0.25">
      <c r="D62" s="162" t="s">
        <v>150</v>
      </c>
      <c r="E62" s="162">
        <v>100</v>
      </c>
      <c r="F62" s="169">
        <f>SUM(E62)</f>
        <v>100</v>
      </c>
      <c r="G62" s="3"/>
      <c r="H62" s="3"/>
      <c r="I62" s="182"/>
      <c r="J62" s="182"/>
    </row>
    <row r="63" spans="3:14" ht="15" hidden="1" customHeight="1" x14ac:dyDescent="0.25">
      <c r="D63" s="162" t="s">
        <v>218</v>
      </c>
      <c r="E63" s="162">
        <v>100</v>
      </c>
      <c r="F63" s="169">
        <f>SUM(E63)</f>
        <v>100</v>
      </c>
      <c r="G63" s="3"/>
      <c r="H63" s="3"/>
      <c r="I63" s="182"/>
      <c r="J63" s="182"/>
    </row>
    <row r="64" spans="3:14" ht="15" hidden="1" customHeight="1" x14ac:dyDescent="0.25">
      <c r="D64" s="162" t="s">
        <v>219</v>
      </c>
      <c r="E64" s="162">
        <v>100</v>
      </c>
      <c r="F64" s="169">
        <f>SUM(E64)</f>
        <v>100</v>
      </c>
      <c r="G64" s="3"/>
      <c r="H64" s="3"/>
      <c r="I64" s="182"/>
      <c r="J64" s="182"/>
    </row>
    <row r="65" spans="1:11" ht="15" hidden="1" customHeight="1" x14ac:dyDescent="0.25">
      <c r="D65" s="166"/>
      <c r="E65" s="166"/>
      <c r="F65" s="166"/>
      <c r="G65" s="3"/>
      <c r="H65" s="3"/>
      <c r="I65" s="182"/>
      <c r="J65" s="182"/>
    </row>
    <row r="66" spans="1:11" ht="15" hidden="1" customHeight="1" x14ac:dyDescent="0.25">
      <c r="D66" s="5" t="s">
        <v>70</v>
      </c>
      <c r="E66" s="6"/>
      <c r="F66" s="13"/>
      <c r="G66" s="3"/>
      <c r="H66" s="3"/>
      <c r="I66" s="182"/>
      <c r="J66" s="182"/>
    </row>
    <row r="67" spans="1:11" ht="75" hidden="1" customHeight="1" x14ac:dyDescent="0.25">
      <c r="D67" s="167" t="s">
        <v>233</v>
      </c>
      <c r="E67" s="161" t="s">
        <v>206</v>
      </c>
      <c r="F67" s="161" t="s">
        <v>234</v>
      </c>
      <c r="G67" s="161" t="s">
        <v>235</v>
      </c>
      <c r="H67" s="161" t="s">
        <v>236</v>
      </c>
      <c r="I67" s="161" t="s">
        <v>237</v>
      </c>
      <c r="J67" s="161" t="s">
        <v>238</v>
      </c>
      <c r="K67" s="161" t="s">
        <v>239</v>
      </c>
    </row>
    <row r="68" spans="1:11" ht="15" hidden="1" customHeight="1" x14ac:dyDescent="0.25">
      <c r="D68" s="162" t="s">
        <v>147</v>
      </c>
      <c r="E68" s="157"/>
      <c r="F68" s="157"/>
      <c r="G68" s="157"/>
      <c r="H68" s="157"/>
      <c r="I68" s="157"/>
      <c r="J68" s="157"/>
      <c r="K68" s="169">
        <v>0</v>
      </c>
    </row>
    <row r="69" spans="1:11" ht="15" hidden="1" customHeight="1" x14ac:dyDescent="0.25">
      <c r="D69" s="162" t="s">
        <v>217</v>
      </c>
      <c r="E69" s="162">
        <v>50</v>
      </c>
      <c r="F69" s="162">
        <v>50</v>
      </c>
      <c r="G69" s="157"/>
      <c r="H69" s="157"/>
      <c r="I69" s="157"/>
      <c r="J69" s="157"/>
      <c r="K69" s="169">
        <f>SUM(E69:F69)</f>
        <v>100</v>
      </c>
    </row>
    <row r="70" spans="1:11" ht="15" hidden="1" customHeight="1" x14ac:dyDescent="0.25">
      <c r="D70" s="162" t="s">
        <v>149</v>
      </c>
      <c r="E70" s="157"/>
      <c r="F70" s="157"/>
      <c r="G70" s="157"/>
      <c r="H70" s="157"/>
      <c r="I70" s="157"/>
      <c r="J70" s="157"/>
      <c r="K70" s="169">
        <v>0</v>
      </c>
    </row>
    <row r="71" spans="1:11" ht="15" hidden="1" customHeight="1" x14ac:dyDescent="0.25">
      <c r="D71" s="162" t="s">
        <v>150</v>
      </c>
      <c r="E71" s="157"/>
      <c r="F71" s="157"/>
      <c r="G71" s="157"/>
      <c r="H71" s="157"/>
      <c r="I71" s="157"/>
      <c r="J71" s="157"/>
      <c r="K71" s="169">
        <v>0</v>
      </c>
    </row>
    <row r="72" spans="1:11" ht="15" hidden="1" customHeight="1" x14ac:dyDescent="0.25">
      <c r="D72" s="162" t="s">
        <v>218</v>
      </c>
      <c r="E72" s="157"/>
      <c r="F72" s="157"/>
      <c r="G72" s="157"/>
      <c r="H72" s="157"/>
      <c r="I72" s="157"/>
      <c r="J72" s="157"/>
      <c r="K72" s="169">
        <v>0</v>
      </c>
    </row>
    <row r="73" spans="1:11" ht="15" hidden="1" customHeight="1" x14ac:dyDescent="0.25">
      <c r="D73" s="162" t="s">
        <v>219</v>
      </c>
      <c r="E73" s="157"/>
      <c r="F73" s="157"/>
      <c r="G73" s="162">
        <v>50</v>
      </c>
      <c r="H73" s="162">
        <v>40</v>
      </c>
      <c r="I73" s="162">
        <v>0</v>
      </c>
      <c r="J73" s="162">
        <v>10</v>
      </c>
      <c r="K73" s="169">
        <f>SUM(G73:J73)</f>
        <v>100</v>
      </c>
    </row>
    <row r="74" spans="1:11" ht="15" hidden="1" customHeight="1" x14ac:dyDescent="0.25">
      <c r="D74" s="6"/>
      <c r="E74" s="6"/>
      <c r="F74" s="13"/>
      <c r="G74" s="3"/>
      <c r="H74" s="3"/>
      <c r="I74" s="182"/>
      <c r="J74" s="182"/>
    </row>
    <row r="75" spans="1:11" s="43" customFormat="1" ht="15" hidden="1" customHeight="1" x14ac:dyDescent="0.25">
      <c r="A75" s="47" t="s">
        <v>127</v>
      </c>
      <c r="B75" s="47"/>
      <c r="C75" s="43" t="s">
        <v>246</v>
      </c>
      <c r="D75" s="178"/>
      <c r="E75" s="178"/>
      <c r="F75" s="179"/>
      <c r="G75" s="180"/>
      <c r="H75" s="180"/>
      <c r="I75" s="181"/>
      <c r="J75" s="181"/>
    </row>
    <row r="76" spans="1:11" s="177" customFormat="1" x14ac:dyDescent="0.25">
      <c r="A76" s="82"/>
      <c r="B76" s="82"/>
      <c r="D76" s="244"/>
      <c r="E76" s="244"/>
      <c r="F76" s="245"/>
      <c r="G76" s="246"/>
      <c r="H76" s="246"/>
      <c r="I76" s="247"/>
      <c r="J76" s="247"/>
    </row>
    <row r="77" spans="1:11" s="172" customFormat="1" ht="15.75" hidden="1" customHeight="1" thickBot="1" x14ac:dyDescent="0.3">
      <c r="A77" s="249" t="s">
        <v>127</v>
      </c>
      <c r="B77" s="249"/>
      <c r="C77" s="249" t="s">
        <v>244</v>
      </c>
      <c r="D77" s="250"/>
      <c r="E77" s="250"/>
      <c r="F77" s="250"/>
      <c r="G77" s="250"/>
      <c r="H77" s="250"/>
      <c r="I77" s="250"/>
      <c r="J77" s="251"/>
    </row>
    <row r="78" spans="1:11" ht="15" hidden="1" customHeight="1" x14ac:dyDescent="0.25">
      <c r="A78" s="13"/>
      <c r="B78" s="13"/>
      <c r="C78" s="13"/>
      <c r="D78" s="13"/>
      <c r="E78" s="13"/>
      <c r="F78" s="13"/>
      <c r="G78" s="13"/>
      <c r="H78" s="13"/>
      <c r="I78" s="13"/>
      <c r="J78" s="89"/>
    </row>
    <row r="79" spans="1:11" ht="15" hidden="1" customHeight="1" x14ac:dyDescent="0.25">
      <c r="A79" s="83">
        <v>1</v>
      </c>
      <c r="B79" s="83"/>
      <c r="C79" s="446" t="s">
        <v>164</v>
      </c>
      <c r="D79" s="446"/>
      <c r="E79" s="446"/>
      <c r="F79" s="446"/>
      <c r="J79" s="89"/>
    </row>
    <row r="80" spans="1:11" ht="15" hidden="1" customHeight="1" x14ac:dyDescent="0.25">
      <c r="A80" s="448" t="s">
        <v>163</v>
      </c>
      <c r="B80" s="383"/>
      <c r="C80" s="450"/>
      <c r="D80" s="72" t="s">
        <v>147</v>
      </c>
      <c r="E80" s="72" t="s">
        <v>148</v>
      </c>
      <c r="F80" s="72" t="s">
        <v>149</v>
      </c>
      <c r="G80" s="72" t="s">
        <v>150</v>
      </c>
      <c r="H80" s="72" t="s">
        <v>151</v>
      </c>
      <c r="I80" s="72" t="s">
        <v>152</v>
      </c>
      <c r="J80" s="89"/>
    </row>
    <row r="81" spans="1:10" ht="15" hidden="1" customHeight="1" x14ac:dyDescent="0.25">
      <c r="A81" s="449"/>
      <c r="B81" s="384"/>
      <c r="C81" s="451"/>
      <c r="D81" s="2" t="s">
        <v>175</v>
      </c>
      <c r="E81" s="2"/>
      <c r="F81" s="2"/>
      <c r="G81" s="2"/>
      <c r="H81" s="2"/>
      <c r="I81" s="2"/>
      <c r="J81" s="89"/>
    </row>
    <row r="82" spans="1:10" ht="15" hidden="1" customHeight="1" x14ac:dyDescent="0.25">
      <c r="A82" s="88">
        <v>1</v>
      </c>
      <c r="B82" s="88"/>
      <c r="C82" s="88"/>
      <c r="D82" s="92">
        <f t="shared" ref="D82:I92" si="0">$C170*D170</f>
        <v>65.25</v>
      </c>
      <c r="E82" s="92">
        <f t="shared" si="0"/>
        <v>655.4</v>
      </c>
      <c r="F82" s="92">
        <f t="shared" si="0"/>
        <v>384.25</v>
      </c>
      <c r="G82" s="92">
        <f t="shared" si="0"/>
        <v>11.6</v>
      </c>
      <c r="H82" s="92">
        <f t="shared" si="0"/>
        <v>20.3</v>
      </c>
      <c r="I82" s="92">
        <f t="shared" si="0"/>
        <v>1.45</v>
      </c>
      <c r="J82" s="89"/>
    </row>
    <row r="83" spans="1:10" ht="15" hidden="1" customHeight="1" x14ac:dyDescent="0.25">
      <c r="A83" s="88">
        <f>A82+1</f>
        <v>2</v>
      </c>
      <c r="B83" s="88"/>
      <c r="C83" s="88"/>
      <c r="D83" s="92">
        <f t="shared" si="0"/>
        <v>143.54999999999998</v>
      </c>
      <c r="E83" s="92">
        <f t="shared" si="0"/>
        <v>771.4</v>
      </c>
      <c r="F83" s="92">
        <f t="shared" si="0"/>
        <v>481.4</v>
      </c>
      <c r="G83" s="92">
        <f t="shared" si="0"/>
        <v>5.8</v>
      </c>
      <c r="H83" s="92">
        <f t="shared" si="0"/>
        <v>7.25</v>
      </c>
      <c r="I83" s="92">
        <f t="shared" si="0"/>
        <v>4.3499999999999996</v>
      </c>
      <c r="J83" s="89"/>
    </row>
    <row r="84" spans="1:10" ht="15" hidden="1" customHeight="1" x14ac:dyDescent="0.25">
      <c r="A84" s="88">
        <f t="shared" ref="A84:A92" si="1">A83+1</f>
        <v>3</v>
      </c>
      <c r="B84" s="88"/>
      <c r="C84" s="88"/>
      <c r="D84" s="92">
        <f t="shared" si="0"/>
        <v>41.6</v>
      </c>
      <c r="E84" s="92">
        <f t="shared" si="0"/>
        <v>231.04</v>
      </c>
      <c r="F84" s="92">
        <f t="shared" si="0"/>
        <v>107.52</v>
      </c>
      <c r="G84" s="92">
        <f t="shared" si="0"/>
        <v>1.92</v>
      </c>
      <c r="H84" s="92">
        <f t="shared" si="0"/>
        <v>2.56</v>
      </c>
      <c r="I84" s="92">
        <f t="shared" si="0"/>
        <v>0</v>
      </c>
      <c r="J84" s="89"/>
    </row>
    <row r="85" spans="1:10" ht="15" hidden="1" customHeight="1" x14ac:dyDescent="0.25">
      <c r="A85" s="88">
        <f t="shared" si="1"/>
        <v>4</v>
      </c>
      <c r="B85" s="88"/>
      <c r="C85" s="88"/>
      <c r="D85" s="92">
        <f t="shared" si="0"/>
        <v>8.64</v>
      </c>
      <c r="E85" s="92">
        <f t="shared" si="0"/>
        <v>61.6</v>
      </c>
      <c r="F85" s="92">
        <f t="shared" si="0"/>
        <v>25.44</v>
      </c>
      <c r="G85" s="92">
        <f t="shared" si="0"/>
        <v>0.64</v>
      </c>
      <c r="H85" s="92">
        <f t="shared" si="0"/>
        <v>0.8</v>
      </c>
      <c r="I85" s="92">
        <f t="shared" si="0"/>
        <v>0</v>
      </c>
      <c r="J85" s="89"/>
    </row>
    <row r="86" spans="1:10" ht="15" hidden="1" customHeight="1" x14ac:dyDescent="0.25">
      <c r="A86" s="88">
        <f t="shared" si="1"/>
        <v>5</v>
      </c>
      <c r="B86" s="88"/>
      <c r="C86" s="88"/>
      <c r="D86" s="92">
        <f t="shared" si="0"/>
        <v>100.62</v>
      </c>
      <c r="E86" s="92">
        <f t="shared" si="0"/>
        <v>429.57</v>
      </c>
      <c r="F86" s="92">
        <f t="shared" si="0"/>
        <v>170.28</v>
      </c>
      <c r="G86" s="92">
        <f t="shared" si="0"/>
        <v>2.58</v>
      </c>
      <c r="H86" s="92">
        <f t="shared" si="0"/>
        <v>12.9</v>
      </c>
      <c r="I86" s="92">
        <f t="shared" si="0"/>
        <v>6.45</v>
      </c>
      <c r="J86" s="89"/>
    </row>
    <row r="87" spans="1:10" ht="15" hidden="1" customHeight="1" x14ac:dyDescent="0.25">
      <c r="A87" s="88">
        <f t="shared" si="1"/>
        <v>6</v>
      </c>
      <c r="B87" s="88"/>
      <c r="C87" s="88"/>
      <c r="D87" s="92">
        <f t="shared" si="0"/>
        <v>34.56</v>
      </c>
      <c r="E87" s="92">
        <f t="shared" si="0"/>
        <v>161.28</v>
      </c>
      <c r="F87" s="92">
        <f t="shared" si="0"/>
        <v>87.04</v>
      </c>
      <c r="G87" s="92">
        <f t="shared" si="0"/>
        <v>3.2</v>
      </c>
      <c r="H87" s="92">
        <f t="shared" si="0"/>
        <v>5.12</v>
      </c>
      <c r="I87" s="92">
        <f t="shared" si="0"/>
        <v>0.64</v>
      </c>
      <c r="J87" s="89"/>
    </row>
    <row r="88" spans="1:10" ht="15" hidden="1" customHeight="1" x14ac:dyDescent="0.25">
      <c r="A88" s="88">
        <f t="shared" si="1"/>
        <v>7</v>
      </c>
      <c r="B88" s="88"/>
      <c r="C88" s="88"/>
      <c r="D88" s="92">
        <f t="shared" si="0"/>
        <v>90.399999999999991</v>
      </c>
      <c r="E88" s="92">
        <f t="shared" si="0"/>
        <v>636.18999999999994</v>
      </c>
      <c r="F88" s="92">
        <f t="shared" si="0"/>
        <v>515.28</v>
      </c>
      <c r="G88" s="92">
        <f t="shared" si="0"/>
        <v>7.9099999999999993</v>
      </c>
      <c r="H88" s="92">
        <f t="shared" si="0"/>
        <v>4.5199999999999996</v>
      </c>
      <c r="I88" s="92">
        <f t="shared" si="0"/>
        <v>6.7799999999999994</v>
      </c>
      <c r="J88" s="89"/>
    </row>
    <row r="89" spans="1:10" ht="15" hidden="1" customHeight="1" x14ac:dyDescent="0.25">
      <c r="A89" s="88">
        <f t="shared" si="1"/>
        <v>8</v>
      </c>
      <c r="B89" s="88"/>
      <c r="C89" s="88"/>
      <c r="D89" s="92">
        <f t="shared" si="0"/>
        <v>19.09</v>
      </c>
      <c r="E89" s="92">
        <f t="shared" si="0"/>
        <v>103.75</v>
      </c>
      <c r="F89" s="92">
        <f t="shared" si="0"/>
        <v>12.45</v>
      </c>
      <c r="G89" s="92">
        <f t="shared" si="0"/>
        <v>0.83</v>
      </c>
      <c r="H89" s="92">
        <f t="shared" si="0"/>
        <v>1.66</v>
      </c>
      <c r="I89" s="92">
        <f t="shared" si="0"/>
        <v>0.83</v>
      </c>
      <c r="J89" s="89"/>
    </row>
    <row r="90" spans="1:10" ht="15" hidden="1" customHeight="1" x14ac:dyDescent="0.25">
      <c r="A90" s="88">
        <f t="shared" si="1"/>
        <v>9</v>
      </c>
      <c r="B90" s="88"/>
      <c r="C90" s="88"/>
      <c r="D90" s="92">
        <f t="shared" si="0"/>
        <v>58.050000000000004</v>
      </c>
      <c r="E90" s="92">
        <f t="shared" si="0"/>
        <v>1002.33</v>
      </c>
      <c r="F90" s="92">
        <f t="shared" si="0"/>
        <v>42.57</v>
      </c>
      <c r="G90" s="92">
        <f t="shared" si="0"/>
        <v>10.32</v>
      </c>
      <c r="H90" s="92">
        <f t="shared" si="0"/>
        <v>3.87</v>
      </c>
      <c r="I90" s="92">
        <f t="shared" si="0"/>
        <v>1.29</v>
      </c>
      <c r="J90" s="89"/>
    </row>
    <row r="91" spans="1:10" ht="15" hidden="1" customHeight="1" x14ac:dyDescent="0.25">
      <c r="A91" s="88">
        <f t="shared" si="1"/>
        <v>10</v>
      </c>
      <c r="B91" s="88"/>
      <c r="C91" s="88"/>
      <c r="D91" s="92">
        <f t="shared" si="0"/>
        <v>40.669999999999995</v>
      </c>
      <c r="E91" s="92">
        <f t="shared" si="0"/>
        <v>375.99</v>
      </c>
      <c r="F91" s="92">
        <f t="shared" si="0"/>
        <v>114.53999999999999</v>
      </c>
      <c r="G91" s="92">
        <f t="shared" si="0"/>
        <v>5.81</v>
      </c>
      <c r="H91" s="92">
        <f t="shared" si="0"/>
        <v>5.81</v>
      </c>
      <c r="I91" s="92">
        <f t="shared" si="0"/>
        <v>0.83</v>
      </c>
      <c r="J91" s="89"/>
    </row>
    <row r="92" spans="1:10" ht="15" hidden="1" customHeight="1" x14ac:dyDescent="0.25">
      <c r="A92" s="88">
        <f t="shared" si="1"/>
        <v>11</v>
      </c>
      <c r="B92" s="88"/>
      <c r="C92" s="88"/>
      <c r="D92" s="92">
        <f t="shared" si="0"/>
        <v>75.19</v>
      </c>
      <c r="E92" s="92">
        <f t="shared" si="0"/>
        <v>465.56</v>
      </c>
      <c r="F92" s="92">
        <f t="shared" si="0"/>
        <v>236.9</v>
      </c>
      <c r="G92" s="92">
        <f t="shared" si="0"/>
        <v>7.21</v>
      </c>
      <c r="H92" s="92">
        <f t="shared" si="0"/>
        <v>4.12</v>
      </c>
      <c r="I92" s="92">
        <f t="shared" si="0"/>
        <v>1.03</v>
      </c>
      <c r="J92" s="89"/>
    </row>
    <row r="93" spans="1:10" ht="15" hidden="1" customHeight="1" x14ac:dyDescent="0.25">
      <c r="A93" s="216" t="s">
        <v>263</v>
      </c>
      <c r="B93" s="216"/>
      <c r="C93" s="88"/>
      <c r="D93" s="217"/>
      <c r="E93" s="217"/>
      <c r="F93" s="217"/>
      <c r="G93" s="217"/>
      <c r="H93" s="217"/>
      <c r="I93" s="217"/>
      <c r="J93" s="89"/>
    </row>
    <row r="94" spans="1:10" ht="15" hidden="1" customHeight="1" x14ac:dyDescent="0.25">
      <c r="A94" s="13"/>
      <c r="B94" s="13"/>
      <c r="C94" s="20" t="s">
        <v>3</v>
      </c>
      <c r="D94" s="20">
        <f t="shared" ref="D94:I94" si="2">SUM(D82:D93)</f>
        <v>677.61999999999989</v>
      </c>
      <c r="E94" s="20">
        <f t="shared" si="2"/>
        <v>4894.1100000000006</v>
      </c>
      <c r="F94" s="20">
        <f t="shared" si="2"/>
        <v>2177.67</v>
      </c>
      <c r="G94" s="20">
        <f t="shared" si="2"/>
        <v>57.82</v>
      </c>
      <c r="H94" s="20">
        <f t="shared" si="2"/>
        <v>68.91</v>
      </c>
      <c r="I94" s="20">
        <f t="shared" si="2"/>
        <v>23.65</v>
      </c>
      <c r="J94" s="89"/>
    </row>
    <row r="95" spans="1:10" ht="15" hidden="1" customHeight="1" x14ac:dyDescent="0.25">
      <c r="A95" s="13"/>
      <c r="B95" s="13"/>
      <c r="C95" s="20"/>
      <c r="D95" s="20"/>
      <c r="E95" s="20"/>
      <c r="F95" s="20"/>
      <c r="G95" s="20"/>
      <c r="H95" s="20"/>
      <c r="I95" s="20"/>
      <c r="J95" s="89"/>
    </row>
    <row r="96" spans="1:10" ht="15" hidden="1" customHeight="1" x14ac:dyDescent="0.25">
      <c r="J96" s="77"/>
    </row>
    <row r="97" spans="1:10" ht="15" hidden="1" customHeight="1" x14ac:dyDescent="0.25">
      <c r="A97" s="83">
        <v>2</v>
      </c>
      <c r="B97" s="83"/>
      <c r="C97" s="452" t="s">
        <v>180</v>
      </c>
      <c r="D97" s="452"/>
      <c r="E97" s="452"/>
      <c r="F97" s="452"/>
      <c r="H97" s="447" t="s">
        <v>172</v>
      </c>
      <c r="I97" s="447"/>
      <c r="J97" s="447"/>
    </row>
    <row r="98" spans="1:10" ht="15" hidden="1" customHeight="1" x14ac:dyDescent="0.25">
      <c r="A98" s="97"/>
      <c r="B98" s="97"/>
      <c r="C98" s="97"/>
      <c r="D98" s="72" t="s">
        <v>147</v>
      </c>
      <c r="E98" s="72" t="s">
        <v>148</v>
      </c>
      <c r="F98" s="72" t="s">
        <v>149</v>
      </c>
      <c r="G98" s="72" t="s">
        <v>150</v>
      </c>
      <c r="H98" s="72" t="s">
        <v>151</v>
      </c>
      <c r="I98" s="72" t="s">
        <v>152</v>
      </c>
      <c r="J98" s="183"/>
    </row>
    <row r="99" spans="1:10" ht="15" hidden="1" customHeight="1" x14ac:dyDescent="0.25">
      <c r="A99" t="s">
        <v>73</v>
      </c>
      <c r="C99" s="2" t="s">
        <v>165</v>
      </c>
      <c r="D99" s="75">
        <f>D94*$E42/100</f>
        <v>677.61999999999989</v>
      </c>
      <c r="E99" s="75">
        <f>E94*$E43/100</f>
        <v>4649.4045000000006</v>
      </c>
      <c r="F99" s="75">
        <f>F94*$E44/100</f>
        <v>1959.9030000000002</v>
      </c>
      <c r="G99" s="233"/>
      <c r="H99" s="75">
        <f>H94*$E46/100</f>
        <v>6.8909999999999991</v>
      </c>
      <c r="I99" s="233"/>
      <c r="J99" s="77"/>
    </row>
    <row r="100" spans="1:10" ht="15" hidden="1" customHeight="1" x14ac:dyDescent="0.25">
      <c r="C100" s="2" t="s">
        <v>69</v>
      </c>
      <c r="D100" s="233"/>
      <c r="E100" s="233"/>
      <c r="F100" s="75">
        <f>F94*$F44/100</f>
        <v>217.767</v>
      </c>
      <c r="G100" s="75">
        <f>G94*$F45/100</f>
        <v>57.82</v>
      </c>
      <c r="H100" s="75">
        <f>H94*$F46/100</f>
        <v>62.018999999999998</v>
      </c>
      <c r="I100" s="75">
        <f>I94*$F47/100</f>
        <v>21.285</v>
      </c>
      <c r="J100" s="77"/>
    </row>
    <row r="101" spans="1:10" ht="15" hidden="1" customHeight="1" x14ac:dyDescent="0.25">
      <c r="C101" s="2" t="s">
        <v>70</v>
      </c>
      <c r="D101" s="233"/>
      <c r="E101" s="75">
        <f>E94*$G43/100</f>
        <v>244.70550000000003</v>
      </c>
      <c r="F101" s="233"/>
      <c r="G101" s="233"/>
      <c r="H101" s="233"/>
      <c r="I101" s="75">
        <f>I94*$G47/100</f>
        <v>2.3650000000000002</v>
      </c>
      <c r="J101" s="77"/>
    </row>
    <row r="102" spans="1:10" ht="15" hidden="1" customHeight="1" x14ac:dyDescent="0.25">
      <c r="C102" s="16" t="s">
        <v>177</v>
      </c>
      <c r="D102" s="234">
        <f t="shared" ref="D102:I102" si="3">SUM(D99:D101)</f>
        <v>677.61999999999989</v>
      </c>
      <c r="E102" s="234">
        <f t="shared" si="3"/>
        <v>4894.1100000000006</v>
      </c>
      <c r="F102" s="234">
        <f t="shared" si="3"/>
        <v>2177.67</v>
      </c>
      <c r="G102" s="234">
        <f t="shared" si="3"/>
        <v>57.82</v>
      </c>
      <c r="H102" s="234">
        <f t="shared" si="3"/>
        <v>68.91</v>
      </c>
      <c r="I102" s="234">
        <f t="shared" si="3"/>
        <v>23.65</v>
      </c>
      <c r="J102" s="77"/>
    </row>
    <row r="103" spans="1:10" ht="15" hidden="1" customHeight="1" x14ac:dyDescent="0.25">
      <c r="J103" s="77"/>
    </row>
    <row r="104" spans="1:10" ht="48.75" hidden="1" customHeight="1" x14ac:dyDescent="0.25">
      <c r="A104" s="83">
        <v>3</v>
      </c>
      <c r="B104" s="83"/>
      <c r="C104" s="446" t="s">
        <v>179</v>
      </c>
      <c r="D104" s="446"/>
      <c r="E104" s="446"/>
      <c r="F104" s="446"/>
      <c r="H104" s="447" t="s">
        <v>172</v>
      </c>
      <c r="I104" s="447"/>
      <c r="J104" s="447"/>
    </row>
    <row r="105" spans="1:10" ht="15" hidden="1" customHeight="1" x14ac:dyDescent="0.25">
      <c r="A105" s="97"/>
      <c r="B105" s="97"/>
      <c r="C105" s="184"/>
      <c r="D105" s="72" t="s">
        <v>147</v>
      </c>
      <c r="E105" s="72" t="s">
        <v>148</v>
      </c>
      <c r="F105" s="72" t="s">
        <v>149</v>
      </c>
      <c r="G105" s="72" t="s">
        <v>150</v>
      </c>
      <c r="H105" s="72" t="s">
        <v>151</v>
      </c>
      <c r="I105" s="72" t="s">
        <v>152</v>
      </c>
      <c r="J105" s="183"/>
    </row>
    <row r="106" spans="1:10" ht="30.75" hidden="1" customHeight="1" x14ac:dyDescent="0.25">
      <c r="A106" s="97"/>
      <c r="B106" s="97"/>
      <c r="C106" s="184"/>
      <c r="D106" s="201"/>
      <c r="E106" s="202" t="s">
        <v>206</v>
      </c>
      <c r="F106" s="72"/>
      <c r="G106" s="200"/>
      <c r="H106" s="72"/>
      <c r="I106" s="200"/>
      <c r="J106" s="183"/>
    </row>
    <row r="107" spans="1:10" ht="15" hidden="1" customHeight="1" x14ac:dyDescent="0.25">
      <c r="A107" s="97"/>
      <c r="B107" s="97"/>
      <c r="C107" s="184"/>
      <c r="D107" s="201"/>
      <c r="E107" s="232">
        <f>E99*$E52/100</f>
        <v>232.47022500000003</v>
      </c>
      <c r="F107" s="72"/>
      <c r="G107" s="200"/>
      <c r="H107" s="72"/>
      <c r="I107" s="200"/>
      <c r="J107" s="183"/>
    </row>
    <row r="108" spans="1:10" ht="46.5" hidden="1" customHeight="1" x14ac:dyDescent="0.25">
      <c r="A108" s="97"/>
      <c r="B108" s="97"/>
      <c r="C108" s="184"/>
      <c r="D108" s="201"/>
      <c r="E108" s="202" t="s">
        <v>223</v>
      </c>
      <c r="F108" s="72"/>
      <c r="G108" s="200"/>
      <c r="H108" s="72"/>
      <c r="I108" s="200"/>
      <c r="J108" s="183"/>
    </row>
    <row r="109" spans="1:10" ht="15" hidden="1" customHeight="1" x14ac:dyDescent="0.25">
      <c r="A109" s="97"/>
      <c r="B109" s="97"/>
      <c r="C109" s="184"/>
      <c r="D109" s="201"/>
      <c r="E109" s="232">
        <f>E99*$G52/100</f>
        <v>232.47022500000003</v>
      </c>
      <c r="F109" s="72"/>
      <c r="G109" s="200"/>
      <c r="H109" s="72"/>
      <c r="I109" s="200"/>
      <c r="J109" s="183"/>
    </row>
    <row r="110" spans="1:10" ht="36.75" hidden="1" customHeight="1" x14ac:dyDescent="0.25">
      <c r="A110" s="97"/>
      <c r="B110" s="97"/>
      <c r="C110" s="184"/>
      <c r="D110" s="202" t="s">
        <v>227</v>
      </c>
      <c r="E110" s="202" t="s">
        <v>224</v>
      </c>
      <c r="F110" s="72"/>
      <c r="G110" s="200"/>
      <c r="H110" s="72"/>
      <c r="I110" s="200"/>
      <c r="J110" s="183"/>
    </row>
    <row r="111" spans="1:10" ht="21" hidden="1" customHeight="1" x14ac:dyDescent="0.25">
      <c r="A111" s="97"/>
      <c r="B111" s="97"/>
      <c r="C111" s="184"/>
      <c r="D111" s="231">
        <f>D99*$K51/100</f>
        <v>33.880999999999993</v>
      </c>
      <c r="E111" s="232">
        <f>E99*$H52/100</f>
        <v>464.94045000000006</v>
      </c>
      <c r="F111" s="72"/>
      <c r="G111" s="200"/>
      <c r="H111" s="72"/>
      <c r="I111" s="200"/>
      <c r="J111" s="183"/>
    </row>
    <row r="112" spans="1:10" ht="51" hidden="1" customHeight="1" x14ac:dyDescent="0.25">
      <c r="A112" t="s">
        <v>178</v>
      </c>
      <c r="C112" t="s">
        <v>166</v>
      </c>
      <c r="D112" s="84" t="s">
        <v>167</v>
      </c>
      <c r="E112" s="85" t="s">
        <v>169</v>
      </c>
      <c r="F112" s="86" t="s">
        <v>171</v>
      </c>
      <c r="G112" s="94"/>
      <c r="H112" s="86" t="s">
        <v>171</v>
      </c>
      <c r="I112" s="94"/>
      <c r="J112" s="77"/>
    </row>
    <row r="113" spans="1:10" ht="15" hidden="1" customHeight="1" x14ac:dyDescent="0.25">
      <c r="D113" s="225">
        <f>D99*$L51/100</f>
        <v>135.52399999999997</v>
      </c>
      <c r="E113" s="228">
        <f>E99*$I52/100</f>
        <v>1394.8213500000002</v>
      </c>
      <c r="F113" s="229">
        <f>F99*F53/100</f>
        <v>1959.9030000000002</v>
      </c>
      <c r="G113" s="230"/>
      <c r="H113" s="229">
        <f>H99*F55/100</f>
        <v>6.8909999999999991</v>
      </c>
      <c r="I113" s="94"/>
      <c r="J113" s="77"/>
    </row>
    <row r="114" spans="1:10" ht="51" hidden="1" customHeight="1" x14ac:dyDescent="0.25">
      <c r="D114" s="84" t="s">
        <v>168</v>
      </c>
      <c r="E114" s="85" t="s">
        <v>170</v>
      </c>
      <c r="F114" s="94"/>
      <c r="G114" s="94"/>
      <c r="H114" s="94"/>
      <c r="I114" s="94"/>
      <c r="J114" s="77"/>
    </row>
    <row r="115" spans="1:10" ht="15" hidden="1" customHeight="1" x14ac:dyDescent="0.25">
      <c r="D115" s="225">
        <f>D99*$M51/100</f>
        <v>508.21499999999992</v>
      </c>
      <c r="E115" s="226">
        <f>E99*$J52/100</f>
        <v>2324.7022500000003</v>
      </c>
      <c r="F115" s="94"/>
      <c r="G115" s="94"/>
      <c r="H115" s="94"/>
      <c r="I115" s="94"/>
      <c r="J115" s="77"/>
    </row>
    <row r="116" spans="1:10" s="1" customFormat="1" ht="15" hidden="1" customHeight="1" x14ac:dyDescent="0.25">
      <c r="A116" s="219" t="s">
        <v>264</v>
      </c>
      <c r="B116" s="219"/>
      <c r="C116" s="219"/>
      <c r="D116" s="227">
        <f t="shared" ref="D116:I116" si="4">D107+D109+D111+D113+D115</f>
        <v>677.61999999999989</v>
      </c>
      <c r="E116" s="227">
        <f t="shared" si="4"/>
        <v>4649.4045000000006</v>
      </c>
      <c r="F116" s="227">
        <f t="shared" si="4"/>
        <v>1959.9030000000002</v>
      </c>
      <c r="G116" s="227">
        <f t="shared" si="4"/>
        <v>0</v>
      </c>
      <c r="H116" s="227">
        <f t="shared" si="4"/>
        <v>6.8909999999999991</v>
      </c>
      <c r="I116" s="227">
        <f t="shared" si="4"/>
        <v>0</v>
      </c>
      <c r="J116" s="218"/>
    </row>
    <row r="117" spans="1:10" ht="26.25" hidden="1" customHeight="1" x14ac:dyDescent="0.25">
      <c r="C117" t="s">
        <v>69</v>
      </c>
      <c r="D117" s="94"/>
      <c r="E117" s="94"/>
      <c r="F117" s="87" t="s">
        <v>171</v>
      </c>
      <c r="G117" s="87" t="s">
        <v>171</v>
      </c>
      <c r="H117" s="87" t="s">
        <v>171</v>
      </c>
      <c r="I117" s="87" t="s">
        <v>171</v>
      </c>
      <c r="J117" s="77"/>
    </row>
    <row r="118" spans="1:10" ht="15" hidden="1" customHeight="1" x14ac:dyDescent="0.25">
      <c r="D118" s="94"/>
      <c r="E118" s="94"/>
      <c r="F118" s="223">
        <f>F100*$E61/100</f>
        <v>217.767</v>
      </c>
      <c r="G118" s="223">
        <f>G100*$E62/100</f>
        <v>57.82</v>
      </c>
      <c r="H118" s="223">
        <f>H100*$E63/100</f>
        <v>62.018999999999998</v>
      </c>
      <c r="I118" s="223">
        <f>I100*$E64/100</f>
        <v>21.285</v>
      </c>
      <c r="J118" s="77"/>
    </row>
    <row r="119" spans="1:10" ht="15" hidden="1" customHeight="1" x14ac:dyDescent="0.25">
      <c r="A119" s="219" t="s">
        <v>265</v>
      </c>
      <c r="B119" s="219"/>
      <c r="C119" s="219"/>
      <c r="D119" s="220"/>
      <c r="E119" s="220"/>
      <c r="F119" s="222">
        <f>F118</f>
        <v>217.767</v>
      </c>
      <c r="G119" s="222">
        <f>G118</f>
        <v>57.82</v>
      </c>
      <c r="H119" s="222">
        <f>H118</f>
        <v>62.018999999999998</v>
      </c>
      <c r="I119" s="222">
        <f>I118</f>
        <v>21.285</v>
      </c>
      <c r="J119" s="77"/>
    </row>
    <row r="120" spans="1:10" ht="26.25" hidden="1" customHeight="1" x14ac:dyDescent="0.25">
      <c r="C120" t="s">
        <v>70</v>
      </c>
      <c r="D120" s="112"/>
      <c r="E120" s="87" t="s">
        <v>206</v>
      </c>
      <c r="F120" s="112"/>
      <c r="G120" s="112"/>
      <c r="H120" s="112"/>
      <c r="I120" s="112"/>
      <c r="J120" s="77"/>
    </row>
    <row r="121" spans="1:10" ht="15" hidden="1" customHeight="1" x14ac:dyDescent="0.25">
      <c r="D121" s="112"/>
      <c r="E121" s="223">
        <f>E101*$E69/100</f>
        <v>122.35275000000001</v>
      </c>
      <c r="F121" s="112"/>
      <c r="G121" s="112"/>
      <c r="H121" s="112"/>
      <c r="I121" s="112"/>
      <c r="J121" s="77"/>
    </row>
    <row r="122" spans="1:10" ht="26.25" hidden="1" customHeight="1" x14ac:dyDescent="0.25">
      <c r="D122" s="112"/>
      <c r="E122" s="87" t="s">
        <v>207</v>
      </c>
      <c r="F122" s="112"/>
      <c r="G122" s="112"/>
      <c r="H122" s="112"/>
      <c r="I122" s="112"/>
      <c r="J122" s="77"/>
    </row>
    <row r="123" spans="1:10" ht="15" hidden="1" customHeight="1" x14ac:dyDescent="0.25">
      <c r="D123" s="112"/>
      <c r="E123" s="224">
        <f>E101*$F69/100</f>
        <v>122.35275000000001</v>
      </c>
      <c r="F123" s="112"/>
      <c r="G123" s="112"/>
      <c r="H123" s="112"/>
      <c r="I123" s="112"/>
      <c r="J123" s="77"/>
    </row>
    <row r="124" spans="1:10" ht="51.75" hidden="1" customHeight="1" x14ac:dyDescent="0.25">
      <c r="D124" s="112"/>
      <c r="E124" s="209"/>
      <c r="F124" s="112"/>
      <c r="G124" s="112"/>
      <c r="H124" s="112"/>
      <c r="I124" s="87" t="s">
        <v>235</v>
      </c>
      <c r="J124" s="77"/>
    </row>
    <row r="125" spans="1:10" ht="15" hidden="1" customHeight="1" x14ac:dyDescent="0.25">
      <c r="D125" s="112"/>
      <c r="E125" s="209"/>
      <c r="F125" s="112"/>
      <c r="G125" s="112"/>
      <c r="H125" s="112"/>
      <c r="I125" s="223">
        <f>I101*$G73/100</f>
        <v>1.1825000000000001</v>
      </c>
      <c r="J125" s="77"/>
    </row>
    <row r="126" spans="1:10" ht="51.75" hidden="1" customHeight="1" x14ac:dyDescent="0.25">
      <c r="D126" s="112"/>
      <c r="E126" s="209"/>
      <c r="F126" s="112"/>
      <c r="G126" s="112"/>
      <c r="H126" s="112"/>
      <c r="I126" s="87" t="s">
        <v>236</v>
      </c>
      <c r="J126" s="77"/>
    </row>
    <row r="127" spans="1:10" ht="15" hidden="1" customHeight="1" x14ac:dyDescent="0.25">
      <c r="D127" s="112"/>
      <c r="E127" s="209"/>
      <c r="F127" s="112"/>
      <c r="G127" s="112"/>
      <c r="H127" s="112"/>
      <c r="I127" s="223">
        <f>I101*$H73/100</f>
        <v>0.94600000000000006</v>
      </c>
      <c r="J127" s="77"/>
    </row>
    <row r="128" spans="1:10" ht="51.75" hidden="1" customHeight="1" x14ac:dyDescent="0.25">
      <c r="D128" s="112"/>
      <c r="E128" s="209"/>
      <c r="F128" s="112"/>
      <c r="G128" s="112"/>
      <c r="H128" s="112"/>
      <c r="I128" s="87" t="s">
        <v>237</v>
      </c>
      <c r="J128" s="77"/>
    </row>
    <row r="129" spans="1:10" ht="15" hidden="1" customHeight="1" x14ac:dyDescent="0.25">
      <c r="D129" s="112"/>
      <c r="E129" s="209"/>
      <c r="F129" s="112"/>
      <c r="G129" s="112"/>
      <c r="H129" s="112"/>
      <c r="I129" s="223">
        <f>I101*$I73/100</f>
        <v>0</v>
      </c>
      <c r="J129" s="77"/>
    </row>
    <row r="130" spans="1:10" ht="51.75" hidden="1" customHeight="1" x14ac:dyDescent="0.25">
      <c r="D130" s="112"/>
      <c r="E130" s="209"/>
      <c r="F130" s="112"/>
      <c r="G130" s="112"/>
      <c r="H130" s="112"/>
      <c r="I130" s="87" t="s">
        <v>238</v>
      </c>
      <c r="J130" s="77"/>
    </row>
    <row r="131" spans="1:10" ht="15" hidden="1" customHeight="1" x14ac:dyDescent="0.25">
      <c r="D131" s="112"/>
      <c r="E131" s="209"/>
      <c r="F131" s="112"/>
      <c r="G131" s="112"/>
      <c r="H131" s="112"/>
      <c r="I131" s="223">
        <f>I101*$J73/100</f>
        <v>0.23650000000000002</v>
      </c>
      <c r="J131" s="77"/>
    </row>
    <row r="132" spans="1:10" s="1" customFormat="1" ht="15" hidden="1" customHeight="1" x14ac:dyDescent="0.25">
      <c r="A132" s="219" t="s">
        <v>266</v>
      </c>
      <c r="B132" s="219"/>
      <c r="C132" s="219"/>
      <c r="D132" s="222"/>
      <c r="E132" s="221">
        <f>E121+E123</f>
        <v>244.70550000000003</v>
      </c>
      <c r="F132" s="222">
        <f>F131</f>
        <v>0</v>
      </c>
      <c r="G132" s="222">
        <f>G131</f>
        <v>0</v>
      </c>
      <c r="H132" s="222">
        <f>H131</f>
        <v>0</v>
      </c>
      <c r="I132" s="222">
        <f>I125+I127+I129+I131</f>
        <v>2.3650000000000002</v>
      </c>
      <c r="J132" s="218"/>
    </row>
    <row r="133" spans="1:10" ht="34.5" hidden="1" customHeight="1" x14ac:dyDescent="0.25">
      <c r="A133" s="83">
        <v>4</v>
      </c>
      <c r="B133" s="83"/>
      <c r="C133" s="446" t="s">
        <v>181</v>
      </c>
      <c r="D133" s="446"/>
      <c r="E133" s="446"/>
      <c r="F133" s="446"/>
      <c r="J133" s="77"/>
    </row>
    <row r="134" spans="1:10" ht="15" hidden="1" customHeight="1" x14ac:dyDescent="0.25">
      <c r="A134" s="83"/>
      <c r="B134" s="83"/>
      <c r="C134" s="184"/>
      <c r="D134" s="72" t="s">
        <v>147</v>
      </c>
      <c r="E134" s="72" t="s">
        <v>148</v>
      </c>
      <c r="F134" s="72" t="s">
        <v>149</v>
      </c>
      <c r="G134" s="72" t="s">
        <v>150</v>
      </c>
      <c r="H134" s="72" t="s">
        <v>151</v>
      </c>
      <c r="I134" s="72" t="s">
        <v>152</v>
      </c>
      <c r="J134" s="77"/>
    </row>
    <row r="135" spans="1:10" ht="25.5" hidden="1" customHeight="1" x14ac:dyDescent="0.25">
      <c r="A135" s="97"/>
      <c r="B135" s="97"/>
      <c r="C135" s="184"/>
      <c r="D135" s="201"/>
      <c r="E135" s="202" t="s">
        <v>206</v>
      </c>
      <c r="F135" s="201"/>
      <c r="G135" s="203"/>
      <c r="H135" s="201"/>
      <c r="I135" s="203"/>
      <c r="J135" s="77"/>
    </row>
    <row r="136" spans="1:10" ht="15" hidden="1" customHeight="1" x14ac:dyDescent="0.25">
      <c r="A136" s="97"/>
      <c r="B136" s="97"/>
      <c r="C136" s="184"/>
      <c r="D136" s="201"/>
      <c r="E136" s="232">
        <f>E107*$F$21</f>
        <v>63464.371425000005</v>
      </c>
      <c r="F136" s="201"/>
      <c r="G136" s="203"/>
      <c r="H136" s="201"/>
      <c r="I136" s="203"/>
      <c r="J136" s="77"/>
    </row>
    <row r="137" spans="1:10" ht="38.25" hidden="1" customHeight="1" x14ac:dyDescent="0.25">
      <c r="A137" s="97"/>
      <c r="B137" s="97"/>
      <c r="C137" s="184"/>
      <c r="D137" s="201"/>
      <c r="E137" s="202" t="s">
        <v>223</v>
      </c>
      <c r="F137" s="201"/>
      <c r="G137" s="203"/>
      <c r="H137" s="201"/>
      <c r="I137" s="203"/>
      <c r="J137" s="77"/>
    </row>
    <row r="138" spans="1:10" ht="15" hidden="1" customHeight="1" x14ac:dyDescent="0.25">
      <c r="A138" s="97"/>
      <c r="B138" s="97"/>
      <c r="C138" s="184"/>
      <c r="D138" s="201"/>
      <c r="E138" s="232">
        <f>E109*$F$22</f>
        <v>53003.21130000001</v>
      </c>
      <c r="F138" s="201"/>
      <c r="G138" s="203"/>
      <c r="H138" s="201"/>
      <c r="I138" s="203"/>
      <c r="J138" s="77"/>
    </row>
    <row r="139" spans="1:10" ht="38.25" hidden="1" customHeight="1" x14ac:dyDescent="0.25">
      <c r="A139" s="97"/>
      <c r="B139" s="97"/>
      <c r="C139" s="184"/>
      <c r="D139" s="202" t="s">
        <v>227</v>
      </c>
      <c r="E139" s="202" t="s">
        <v>224</v>
      </c>
      <c r="F139" s="201"/>
      <c r="G139" s="203"/>
      <c r="H139" s="201"/>
      <c r="I139" s="203"/>
      <c r="J139" s="77"/>
    </row>
    <row r="140" spans="1:10" ht="15" hidden="1" customHeight="1" x14ac:dyDescent="0.25">
      <c r="A140" s="97"/>
      <c r="B140" s="97"/>
      <c r="C140" s="184"/>
      <c r="D140" s="232">
        <f>D111*$F$18</f>
        <v>2012.5313999999996</v>
      </c>
      <c r="E140" s="232">
        <f>E111*$F$23</f>
        <v>94382.911350000009</v>
      </c>
      <c r="F140" s="201"/>
      <c r="G140" s="203"/>
      <c r="H140" s="201"/>
      <c r="I140" s="203"/>
      <c r="J140" s="77"/>
    </row>
    <row r="141" spans="1:10" ht="51" hidden="1" customHeight="1" x14ac:dyDescent="0.25">
      <c r="A141" t="s">
        <v>178</v>
      </c>
      <c r="C141" t="s">
        <v>166</v>
      </c>
      <c r="D141" s="84" t="s">
        <v>167</v>
      </c>
      <c r="E141" s="85" t="s">
        <v>169</v>
      </c>
      <c r="F141" s="86" t="s">
        <v>171</v>
      </c>
      <c r="G141" s="94"/>
      <c r="H141" s="86" t="s">
        <v>171</v>
      </c>
      <c r="I141" s="94"/>
      <c r="J141" s="77"/>
    </row>
    <row r="142" spans="1:10" ht="15" hidden="1" customHeight="1" x14ac:dyDescent="0.25">
      <c r="D142" s="225">
        <f>D113*$F$19</f>
        <v>13389.771199999997</v>
      </c>
      <c r="E142" s="240">
        <f>E113*$F$24</f>
        <v>269200.52055000002</v>
      </c>
      <c r="F142" s="241">
        <f>F113*$F$28</f>
        <v>644808.08700000006</v>
      </c>
      <c r="G142" s="94"/>
      <c r="H142" s="229">
        <f>H113*$F$31</f>
        <v>2267.1389999999997</v>
      </c>
      <c r="I142" s="94"/>
      <c r="J142" s="77"/>
    </row>
    <row r="143" spans="1:10" ht="51" hidden="1" customHeight="1" x14ac:dyDescent="0.25">
      <c r="D143" s="84" t="s">
        <v>168</v>
      </c>
      <c r="E143" s="85" t="s">
        <v>170</v>
      </c>
      <c r="F143" s="94"/>
      <c r="G143" s="94"/>
      <c r="H143" s="94"/>
      <c r="I143" s="94"/>
      <c r="J143" s="77"/>
    </row>
    <row r="144" spans="1:10" ht="15" hidden="1" customHeight="1" x14ac:dyDescent="0.25">
      <c r="D144" s="235">
        <f>D115*$F$20</f>
        <v>63526.874999999993</v>
      </c>
      <c r="E144" s="242">
        <f>E115*$F$25</f>
        <v>513759.19725000008</v>
      </c>
      <c r="F144" s="94"/>
      <c r="G144" s="94"/>
      <c r="H144" s="94"/>
      <c r="I144" s="94"/>
      <c r="J144" s="77"/>
    </row>
    <row r="145" spans="3:10" ht="39.75" hidden="1" customHeight="1" thickBot="1" x14ac:dyDescent="0.3">
      <c r="C145" s="122" t="s">
        <v>197</v>
      </c>
      <c r="D145" s="236">
        <f>D140+D142+D144</f>
        <v>78929.177599999995</v>
      </c>
      <c r="E145" s="237">
        <f>E136+E138+E140+E142+E144</f>
        <v>993810.21187500015</v>
      </c>
      <c r="F145" s="238">
        <f>F142</f>
        <v>644808.08700000006</v>
      </c>
      <c r="G145" s="238"/>
      <c r="H145" s="238">
        <f>H142</f>
        <v>2267.1389999999997</v>
      </c>
      <c r="I145" s="239"/>
      <c r="J145" s="77"/>
    </row>
    <row r="146" spans="3:10" ht="26.25" hidden="1" customHeight="1" x14ac:dyDescent="0.25">
      <c r="C146" t="s">
        <v>69</v>
      </c>
      <c r="D146" s="94"/>
      <c r="E146" s="94"/>
      <c r="F146" s="117" t="s">
        <v>171</v>
      </c>
      <c r="G146" s="117" t="s">
        <v>171</v>
      </c>
      <c r="H146" s="117" t="s">
        <v>171</v>
      </c>
      <c r="I146" s="117" t="s">
        <v>171</v>
      </c>
      <c r="J146" s="77"/>
    </row>
    <row r="147" spans="3:10" ht="15" hidden="1" customHeight="1" x14ac:dyDescent="0.25">
      <c r="D147" s="94"/>
      <c r="E147" s="94"/>
      <c r="F147" s="118">
        <f>F118*$F$29</f>
        <v>62281.362000000001</v>
      </c>
      <c r="G147" s="118">
        <f>G118*$F$30</f>
        <v>45157.42</v>
      </c>
      <c r="H147" s="118">
        <f>H118*$F$32</f>
        <v>17737.434000000001</v>
      </c>
      <c r="I147" s="118">
        <f>I118*$F$33</f>
        <v>16623.584999999999</v>
      </c>
      <c r="J147" s="77"/>
    </row>
    <row r="148" spans="3:10" ht="39.75" hidden="1" customHeight="1" thickBot="1" x14ac:dyDescent="0.3">
      <c r="C148" s="122" t="s">
        <v>198</v>
      </c>
      <c r="D148" s="205"/>
      <c r="E148" s="206"/>
      <c r="F148" s="128">
        <f>F147</f>
        <v>62281.362000000001</v>
      </c>
      <c r="G148" s="128">
        <f>G147</f>
        <v>45157.42</v>
      </c>
      <c r="H148" s="128">
        <f>H147</f>
        <v>17737.434000000001</v>
      </c>
      <c r="I148" s="129">
        <f>I147</f>
        <v>16623.584999999999</v>
      </c>
      <c r="J148" s="77"/>
    </row>
    <row r="149" spans="3:10" ht="26.25" hidden="1" customHeight="1" x14ac:dyDescent="0.25">
      <c r="C149" t="s">
        <v>70</v>
      </c>
      <c r="D149" s="112"/>
      <c r="E149" s="117" t="s">
        <v>206</v>
      </c>
      <c r="F149" s="112"/>
      <c r="G149" s="112"/>
      <c r="H149" s="112"/>
      <c r="I149" s="112"/>
      <c r="J149" s="77"/>
    </row>
    <row r="150" spans="3:10" ht="15" hidden="1" customHeight="1" x14ac:dyDescent="0.25">
      <c r="D150" s="112"/>
      <c r="E150" s="114">
        <f>E121*$F$26</f>
        <v>46371.692250000007</v>
      </c>
      <c r="F150" s="112"/>
      <c r="G150" s="112"/>
      <c r="H150" s="112"/>
      <c r="I150" s="112"/>
      <c r="J150" s="77"/>
    </row>
    <row r="151" spans="3:10" ht="26.25" hidden="1" customHeight="1" x14ac:dyDescent="0.25">
      <c r="D151" s="112"/>
      <c r="E151" s="87" t="s">
        <v>207</v>
      </c>
      <c r="F151" s="112"/>
      <c r="G151" s="112"/>
      <c r="H151" s="112"/>
      <c r="I151" s="112"/>
      <c r="J151" s="77"/>
    </row>
    <row r="152" spans="3:10" ht="15" hidden="1" customHeight="1" x14ac:dyDescent="0.25">
      <c r="D152" s="112"/>
      <c r="E152" s="121">
        <f>E123*$F$27</f>
        <v>18108.207000000002</v>
      </c>
      <c r="F152" s="112"/>
      <c r="G152" s="112"/>
      <c r="H152" s="112"/>
      <c r="I152" s="112"/>
      <c r="J152" s="77"/>
    </row>
    <row r="153" spans="3:10" ht="51.75" hidden="1" customHeight="1" x14ac:dyDescent="0.25">
      <c r="D153" s="112"/>
      <c r="E153" s="112"/>
      <c r="F153" s="112"/>
      <c r="G153" s="112"/>
      <c r="H153" s="112"/>
      <c r="I153" s="87" t="s">
        <v>235</v>
      </c>
      <c r="J153" s="77"/>
    </row>
    <row r="154" spans="3:10" ht="15" hidden="1" customHeight="1" x14ac:dyDescent="0.25">
      <c r="D154" s="112"/>
      <c r="E154" s="112"/>
      <c r="F154" s="112"/>
      <c r="G154" s="112"/>
      <c r="H154" s="112"/>
      <c r="I154" s="223">
        <f>I125*$F$34</f>
        <v>1312.575</v>
      </c>
      <c r="J154" s="77"/>
    </row>
    <row r="155" spans="3:10" ht="51.75" hidden="1" customHeight="1" x14ac:dyDescent="0.25">
      <c r="D155" s="112"/>
      <c r="E155" s="112"/>
      <c r="F155" s="112"/>
      <c r="G155" s="112"/>
      <c r="H155" s="112"/>
      <c r="I155" s="87" t="s">
        <v>236</v>
      </c>
      <c r="J155" s="77"/>
    </row>
    <row r="156" spans="3:10" ht="15" hidden="1" customHeight="1" x14ac:dyDescent="0.25">
      <c r="D156" s="112"/>
      <c r="E156" s="112"/>
      <c r="F156" s="112"/>
      <c r="G156" s="112"/>
      <c r="H156" s="112"/>
      <c r="I156" s="223">
        <f>I127*$F$35</f>
        <v>579.89800000000002</v>
      </c>
      <c r="J156" s="77"/>
    </row>
    <row r="157" spans="3:10" ht="51.75" hidden="1" customHeight="1" x14ac:dyDescent="0.25">
      <c r="D157" s="112"/>
      <c r="E157" s="112"/>
      <c r="F157" s="112"/>
      <c r="G157" s="112"/>
      <c r="H157" s="112"/>
      <c r="I157" s="87" t="s">
        <v>237</v>
      </c>
      <c r="J157" s="77"/>
    </row>
    <row r="158" spans="3:10" ht="15" hidden="1" customHeight="1" x14ac:dyDescent="0.25">
      <c r="D158" s="112"/>
      <c r="E158" s="112"/>
      <c r="F158" s="112"/>
      <c r="G158" s="112"/>
      <c r="H158" s="112"/>
      <c r="I158" s="223">
        <f>I129*$F$36</f>
        <v>0</v>
      </c>
      <c r="J158" s="77"/>
    </row>
    <row r="159" spans="3:10" ht="51.75" hidden="1" customHeight="1" x14ac:dyDescent="0.25">
      <c r="D159" s="112"/>
      <c r="E159" s="112"/>
      <c r="F159" s="112"/>
      <c r="G159" s="112"/>
      <c r="H159" s="112"/>
      <c r="I159" s="87" t="s">
        <v>238</v>
      </c>
      <c r="J159" s="77"/>
    </row>
    <row r="160" spans="3:10" ht="15" hidden="1" customHeight="1" x14ac:dyDescent="0.25">
      <c r="D160" s="112"/>
      <c r="E160" s="112"/>
      <c r="F160" s="112"/>
      <c r="G160" s="112"/>
      <c r="H160" s="112"/>
      <c r="I160" s="223">
        <f>I131*$F$37</f>
        <v>214.97850000000003</v>
      </c>
      <c r="J160" s="77"/>
    </row>
    <row r="161" spans="1:10" ht="39.75" hidden="1" customHeight="1" thickBot="1" x14ac:dyDescent="0.3">
      <c r="C161" s="122" t="s">
        <v>210</v>
      </c>
      <c r="D161" s="207"/>
      <c r="E161" s="208">
        <f>E150+E152</f>
        <v>64479.899250000009</v>
      </c>
      <c r="F161" s="208"/>
      <c r="G161" s="208"/>
      <c r="H161" s="208"/>
      <c r="I161" s="243">
        <f>I154+I156+I158+I160</f>
        <v>2107.4515000000001</v>
      </c>
      <c r="J161" s="77"/>
    </row>
    <row r="162" spans="1:10" ht="15.75" hidden="1" customHeight="1" thickBot="1" x14ac:dyDescent="0.3">
      <c r="A162" s="101"/>
      <c r="B162" s="101"/>
      <c r="C162" s="101"/>
      <c r="D162" s="101"/>
      <c r="E162" s="101"/>
      <c r="F162" s="101"/>
      <c r="G162" s="101"/>
      <c r="H162" s="101"/>
      <c r="I162" s="101"/>
      <c r="J162" s="105"/>
    </row>
    <row r="163" spans="1:10" s="43" customFormat="1" ht="15" hidden="1" customHeight="1" x14ac:dyDescent="0.25">
      <c r="A163" s="43" t="s">
        <v>127</v>
      </c>
      <c r="C163" s="43" t="s">
        <v>267</v>
      </c>
      <c r="J163" s="248"/>
    </row>
    <row r="164" spans="1:10" ht="15" customHeight="1" x14ac:dyDescent="0.25">
      <c r="J164" s="77"/>
    </row>
    <row r="165" spans="1:10" ht="15.75" thickBot="1" x14ac:dyDescent="0.3">
      <c r="F165" s="294" t="s">
        <v>28</v>
      </c>
    </row>
    <row r="166" spans="1:10" ht="15.75" hidden="1" thickBot="1" x14ac:dyDescent="0.3">
      <c r="A166" s="83">
        <v>0</v>
      </c>
      <c r="B166" s="83"/>
      <c r="C166" s="565" t="s">
        <v>174</v>
      </c>
      <c r="D166" s="565"/>
      <c r="E166" s="565"/>
      <c r="F166" s="565"/>
    </row>
    <row r="167" spans="1:10" ht="15.75" thickTop="1" x14ac:dyDescent="0.25">
      <c r="A167" s="1" t="s">
        <v>262</v>
      </c>
      <c r="B167" s="1"/>
      <c r="E167" s="292" t="s">
        <v>55</v>
      </c>
      <c r="F167" s="338">
        <v>2021</v>
      </c>
    </row>
    <row r="168" spans="1:10" ht="15.75" thickBot="1" x14ac:dyDescent="0.3">
      <c r="A168" s="152" t="s">
        <v>213</v>
      </c>
      <c r="B168" s="419"/>
      <c r="C168" s="73"/>
      <c r="D168" s="73"/>
      <c r="E168" s="73"/>
      <c r="F168" s="339">
        <v>365</v>
      </c>
    </row>
    <row r="169" spans="1:10" ht="16.5" thickTop="1" thickBot="1" x14ac:dyDescent="0.3">
      <c r="A169" s="144" t="s">
        <v>191</v>
      </c>
      <c r="B169" s="144" t="s">
        <v>287</v>
      </c>
      <c r="C169" s="286" t="s">
        <v>192</v>
      </c>
      <c r="D169" s="287" t="s">
        <v>147</v>
      </c>
      <c r="E169" s="287" t="s">
        <v>148</v>
      </c>
      <c r="F169" s="293" t="s">
        <v>149</v>
      </c>
      <c r="G169" s="287" t="s">
        <v>150</v>
      </c>
      <c r="H169" s="287" t="s">
        <v>151</v>
      </c>
      <c r="I169" s="287" t="s">
        <v>152</v>
      </c>
    </row>
    <row r="170" spans="1:10" s="297" customFormat="1" ht="15.75" thickTop="1" x14ac:dyDescent="0.25">
      <c r="A170" s="305">
        <v>1</v>
      </c>
      <c r="B170" s="299" t="s">
        <v>295</v>
      </c>
      <c r="C170" s="306">
        <v>1.45</v>
      </c>
      <c r="D170" s="307">
        <v>45</v>
      </c>
      <c r="E170" s="307">
        <v>452</v>
      </c>
      <c r="F170" s="307">
        <v>265</v>
      </c>
      <c r="G170" s="307">
        <v>8</v>
      </c>
      <c r="H170" s="307">
        <v>14</v>
      </c>
      <c r="I170" s="308">
        <v>1</v>
      </c>
    </row>
    <row r="171" spans="1:10" s="297" customFormat="1" x14ac:dyDescent="0.25">
      <c r="A171" s="305">
        <f>A170+1</f>
        <v>2</v>
      </c>
      <c r="B171" s="299" t="s">
        <v>296</v>
      </c>
      <c r="C171" s="309">
        <v>1.45</v>
      </c>
      <c r="D171" s="299">
        <v>99</v>
      </c>
      <c r="E171" s="299">
        <v>532</v>
      </c>
      <c r="F171" s="299">
        <v>332</v>
      </c>
      <c r="G171" s="299">
        <v>4</v>
      </c>
      <c r="H171" s="299">
        <v>5</v>
      </c>
      <c r="I171" s="310">
        <v>3</v>
      </c>
    </row>
    <row r="172" spans="1:10" s="297" customFormat="1" x14ac:dyDescent="0.25">
      <c r="A172" s="305">
        <f t="shared" ref="A172:A180" si="5">A171+1</f>
        <v>3</v>
      </c>
      <c r="B172" s="299" t="s">
        <v>297</v>
      </c>
      <c r="C172" s="309">
        <v>0.64</v>
      </c>
      <c r="D172" s="299">
        <v>65</v>
      </c>
      <c r="E172" s="299">
        <v>361</v>
      </c>
      <c r="F172" s="299">
        <v>168</v>
      </c>
      <c r="G172" s="299">
        <v>3</v>
      </c>
      <c r="H172" s="299">
        <v>4</v>
      </c>
      <c r="I172" s="310">
        <v>0</v>
      </c>
    </row>
    <row r="173" spans="1:10" s="297" customFormat="1" x14ac:dyDescent="0.25">
      <c r="A173" s="305">
        <f t="shared" si="5"/>
        <v>4</v>
      </c>
      <c r="B173" s="299"/>
      <c r="C173" s="309">
        <v>0.16</v>
      </c>
      <c r="D173" s="299">
        <v>54</v>
      </c>
      <c r="E173" s="299">
        <v>385</v>
      </c>
      <c r="F173" s="299">
        <v>159</v>
      </c>
      <c r="G173" s="299">
        <v>4</v>
      </c>
      <c r="H173" s="299">
        <v>5</v>
      </c>
      <c r="I173" s="310">
        <v>0</v>
      </c>
    </row>
    <row r="174" spans="1:10" s="297" customFormat="1" x14ac:dyDescent="0.25">
      <c r="A174" s="305">
        <f>A173+1</f>
        <v>5</v>
      </c>
      <c r="B174" s="299"/>
      <c r="C174" s="309">
        <v>1.29</v>
      </c>
      <c r="D174" s="299">
        <v>78</v>
      </c>
      <c r="E174" s="299">
        <v>333</v>
      </c>
      <c r="F174" s="299">
        <v>132</v>
      </c>
      <c r="G174" s="299">
        <v>2</v>
      </c>
      <c r="H174" s="299">
        <v>10</v>
      </c>
      <c r="I174" s="310">
        <v>5</v>
      </c>
    </row>
    <row r="175" spans="1:10" s="297" customFormat="1" x14ac:dyDescent="0.25">
      <c r="A175" s="305">
        <f t="shared" si="5"/>
        <v>6</v>
      </c>
      <c r="B175" s="299"/>
      <c r="C175" s="309">
        <v>0.64</v>
      </c>
      <c r="D175" s="299">
        <v>54</v>
      </c>
      <c r="E175" s="299">
        <v>252</v>
      </c>
      <c r="F175" s="299">
        <v>136</v>
      </c>
      <c r="G175" s="299">
        <v>5</v>
      </c>
      <c r="H175" s="299">
        <v>8</v>
      </c>
      <c r="I175" s="310">
        <v>1</v>
      </c>
    </row>
    <row r="176" spans="1:10" s="297" customFormat="1" x14ac:dyDescent="0.25">
      <c r="A176" s="305">
        <f t="shared" si="5"/>
        <v>7</v>
      </c>
      <c r="B176" s="299"/>
      <c r="C176" s="309">
        <v>1.1299999999999999</v>
      </c>
      <c r="D176" s="299">
        <v>80</v>
      </c>
      <c r="E176" s="299">
        <v>563</v>
      </c>
      <c r="F176" s="299">
        <v>456</v>
      </c>
      <c r="G176" s="299">
        <v>7</v>
      </c>
      <c r="H176" s="299">
        <v>4</v>
      </c>
      <c r="I176" s="310">
        <v>6</v>
      </c>
    </row>
    <row r="177" spans="1:10" s="297" customFormat="1" x14ac:dyDescent="0.25">
      <c r="A177" s="305">
        <f>A176+1</f>
        <v>8</v>
      </c>
      <c r="B177" s="299"/>
      <c r="C177" s="309">
        <v>0.83</v>
      </c>
      <c r="D177" s="299">
        <v>23</v>
      </c>
      <c r="E177" s="299">
        <v>125</v>
      </c>
      <c r="F177" s="299">
        <v>15</v>
      </c>
      <c r="G177" s="299">
        <v>1</v>
      </c>
      <c r="H177" s="299">
        <v>2</v>
      </c>
      <c r="I177" s="310">
        <v>1</v>
      </c>
    </row>
    <row r="178" spans="1:10" s="297" customFormat="1" x14ac:dyDescent="0.25">
      <c r="A178" s="305">
        <f t="shared" si="5"/>
        <v>9</v>
      </c>
      <c r="B178" s="299"/>
      <c r="C178" s="309">
        <v>1.29</v>
      </c>
      <c r="D178" s="299">
        <v>45</v>
      </c>
      <c r="E178" s="299">
        <v>777</v>
      </c>
      <c r="F178" s="299">
        <v>33</v>
      </c>
      <c r="G178" s="299">
        <v>8</v>
      </c>
      <c r="H178" s="299">
        <v>3</v>
      </c>
      <c r="I178" s="310">
        <v>1</v>
      </c>
    </row>
    <row r="179" spans="1:10" s="297" customFormat="1" x14ac:dyDescent="0.25">
      <c r="A179" s="305">
        <f t="shared" si="5"/>
        <v>10</v>
      </c>
      <c r="B179" s="299"/>
      <c r="C179" s="309">
        <v>0.83</v>
      </c>
      <c r="D179" s="299">
        <v>49</v>
      </c>
      <c r="E179" s="299">
        <v>453</v>
      </c>
      <c r="F179" s="299">
        <v>138</v>
      </c>
      <c r="G179" s="299">
        <v>7</v>
      </c>
      <c r="H179" s="299">
        <v>7</v>
      </c>
      <c r="I179" s="310">
        <v>1</v>
      </c>
    </row>
    <row r="180" spans="1:10" s="297" customFormat="1" x14ac:dyDescent="0.25">
      <c r="A180" s="305">
        <f t="shared" si="5"/>
        <v>11</v>
      </c>
      <c r="B180" s="299"/>
      <c r="C180" s="309">
        <v>1.03</v>
      </c>
      <c r="D180" s="299">
        <v>73</v>
      </c>
      <c r="E180" s="299">
        <v>452</v>
      </c>
      <c r="F180" s="299">
        <v>230</v>
      </c>
      <c r="G180" s="299">
        <v>7</v>
      </c>
      <c r="H180" s="299">
        <v>4</v>
      </c>
      <c r="I180" s="310">
        <v>1</v>
      </c>
    </row>
    <row r="181" spans="1:10" s="297" customFormat="1" ht="15.75" thickBot="1" x14ac:dyDescent="0.3">
      <c r="A181" s="334" t="s">
        <v>243</v>
      </c>
      <c r="B181" s="420"/>
      <c r="C181" s="335"/>
      <c r="D181" s="336"/>
      <c r="E181" s="336"/>
      <c r="F181" s="336"/>
      <c r="G181" s="336"/>
      <c r="H181" s="336"/>
      <c r="I181" s="337"/>
    </row>
    <row r="182" spans="1:10" s="147" customFormat="1" ht="15" customHeight="1" thickTop="1" x14ac:dyDescent="0.25">
      <c r="C182" s="288"/>
      <c r="D182" s="289" t="s">
        <v>153</v>
      </c>
      <c r="E182" s="290"/>
      <c r="F182" s="290"/>
      <c r="G182" s="290"/>
      <c r="H182" s="290"/>
      <c r="I182" s="291"/>
      <c r="J182" s="199"/>
    </row>
    <row r="183" spans="1:10" x14ac:dyDescent="0.25">
      <c r="C183" s="213" t="s">
        <v>260</v>
      </c>
      <c r="D183" s="213" t="s">
        <v>212</v>
      </c>
      <c r="E183" s="213" t="s">
        <v>212</v>
      </c>
      <c r="F183" s="213" t="s">
        <v>212</v>
      </c>
      <c r="G183" s="213" t="s">
        <v>212</v>
      </c>
      <c r="H183" s="213" t="s">
        <v>212</v>
      </c>
      <c r="I183" s="213" t="s">
        <v>212</v>
      </c>
      <c r="J183" s="199"/>
    </row>
    <row r="184" spans="1:10" x14ac:dyDescent="0.25">
      <c r="C184" s="211"/>
      <c r="D184" s="72" t="s">
        <v>147</v>
      </c>
      <c r="E184" s="72" t="s">
        <v>148</v>
      </c>
      <c r="F184" s="72" t="s">
        <v>149</v>
      </c>
      <c r="G184" s="72" t="s">
        <v>150</v>
      </c>
      <c r="H184" s="72" t="s">
        <v>151</v>
      </c>
      <c r="I184" s="72" t="s">
        <v>152</v>
      </c>
      <c r="J184" s="199"/>
    </row>
    <row r="185" spans="1:10" x14ac:dyDescent="0.25">
      <c r="C185" s="134">
        <f t="shared" ref="C185:I185" si="6">SUM(C170:C181)</f>
        <v>10.739999999999998</v>
      </c>
      <c r="D185" s="134">
        <f t="shared" si="6"/>
        <v>665</v>
      </c>
      <c r="E185" s="134">
        <f t="shared" si="6"/>
        <v>4685</v>
      </c>
      <c r="F185" s="134">
        <f t="shared" si="6"/>
        <v>2064</v>
      </c>
      <c r="G185" s="134">
        <f t="shared" si="6"/>
        <v>56</v>
      </c>
      <c r="H185" s="134">
        <f t="shared" si="6"/>
        <v>66</v>
      </c>
      <c r="I185" s="134">
        <f t="shared" si="6"/>
        <v>20</v>
      </c>
      <c r="J185" s="198"/>
    </row>
    <row r="186" spans="1:10" x14ac:dyDescent="0.25">
      <c r="A186" s="215" t="s">
        <v>261</v>
      </c>
      <c r="B186" s="215"/>
      <c r="C186" s="185"/>
      <c r="D186" s="185"/>
      <c r="E186" s="185"/>
      <c r="F186" s="185"/>
      <c r="G186" s="185"/>
      <c r="H186" s="185"/>
      <c r="I186" s="186"/>
      <c r="J186" s="198"/>
    </row>
    <row r="187" spans="1:10" x14ac:dyDescent="0.25">
      <c r="A187" s="185"/>
      <c r="B187" s="185"/>
      <c r="C187" s="185"/>
      <c r="D187" s="185"/>
      <c r="E187" s="185"/>
      <c r="F187" s="185"/>
      <c r="G187" s="185"/>
      <c r="H187" s="185"/>
      <c r="I187" s="186"/>
      <c r="J187" s="187"/>
    </row>
    <row r="188" spans="1:10" x14ac:dyDescent="0.25">
      <c r="A188" s="537" t="s">
        <v>214</v>
      </c>
      <c r="B188" s="537"/>
      <c r="C188" s="537"/>
      <c r="D188" s="537"/>
      <c r="E188" s="537"/>
      <c r="F188" s="537"/>
      <c r="G188" s="537"/>
      <c r="H188" s="57"/>
      <c r="I188" s="57"/>
      <c r="J188" s="57"/>
    </row>
    <row r="189" spans="1:10" ht="51.75" x14ac:dyDescent="0.25">
      <c r="A189" s="71" t="s">
        <v>55</v>
      </c>
      <c r="B189" s="72" t="s">
        <v>147</v>
      </c>
      <c r="C189" s="72" t="s">
        <v>148</v>
      </c>
      <c r="D189" s="72" t="s">
        <v>149</v>
      </c>
      <c r="E189" s="72" t="s">
        <v>150</v>
      </c>
      <c r="F189" s="72" t="s">
        <v>151</v>
      </c>
      <c r="G189" s="72" t="s">
        <v>152</v>
      </c>
      <c r="H189" s="70" t="s">
        <v>155</v>
      </c>
      <c r="I189" s="70" t="s">
        <v>154</v>
      </c>
    </row>
    <row r="190" spans="1:10" x14ac:dyDescent="0.25">
      <c r="A190" s="11">
        <f>F167</f>
        <v>2021</v>
      </c>
      <c r="B190" s="74">
        <f>($D145+$D148+$D161)/1000000</f>
        <v>7.8929177599999997E-2</v>
      </c>
      <c r="C190" s="74">
        <f>($E145+$E148+$E161)/1000000</f>
        <v>1.058290111125</v>
      </c>
      <c r="D190" s="74">
        <f>($F145+$F148+$F161)/1000000</f>
        <v>0.70708944900000004</v>
      </c>
      <c r="E190" s="74">
        <f>($G$145+$G$148+$G$161)/1000000</f>
        <v>4.5157419999999997E-2</v>
      </c>
      <c r="F190" s="74">
        <f>($H145+$H148+$H161)/1000000</f>
        <v>2.0004573000000001E-2</v>
      </c>
      <c r="G190" s="74">
        <f>($I145+$I148+$I161)/1000000</f>
        <v>1.8731036499999999E-2</v>
      </c>
      <c r="H190" s="74">
        <f>SUM(B190:G190)</f>
        <v>1.928201767225</v>
      </c>
      <c r="I190" s="103"/>
    </row>
    <row r="191" spans="1:10" x14ac:dyDescent="0.25">
      <c r="A191" s="252"/>
      <c r="B191" s="253">
        <f t="shared" ref="B191:G191" si="7">B190*$F168</f>
        <v>28.809149823999999</v>
      </c>
      <c r="C191" s="253">
        <f t="shared" si="7"/>
        <v>386.27589056062504</v>
      </c>
      <c r="D191" s="253">
        <f t="shared" si="7"/>
        <v>258.08764888500002</v>
      </c>
      <c r="E191" s="253">
        <f t="shared" si="7"/>
        <v>16.482458299999998</v>
      </c>
      <c r="F191" s="253">
        <f t="shared" si="7"/>
        <v>7.3016691450000009</v>
      </c>
      <c r="G191" s="253">
        <f t="shared" si="7"/>
        <v>6.8368283224999997</v>
      </c>
      <c r="H191" s="253"/>
      <c r="I191" s="254">
        <f>SUM(B191:G191)</f>
        <v>703.79364503712497</v>
      </c>
    </row>
    <row r="192" spans="1:10" x14ac:dyDescent="0.25">
      <c r="A192" s="99"/>
      <c r="B192" s="99"/>
      <c r="C192" s="99"/>
      <c r="D192" s="99"/>
      <c r="E192" s="99"/>
      <c r="F192" s="99"/>
      <c r="G192" s="99"/>
      <c r="H192" s="99"/>
      <c r="I192" s="99"/>
    </row>
    <row r="193" spans="1:10" x14ac:dyDescent="0.25">
      <c r="A193" s="99"/>
      <c r="B193" s="99"/>
      <c r="C193" s="99"/>
      <c r="D193" s="99"/>
      <c r="E193" s="99"/>
      <c r="F193" s="99"/>
      <c r="G193" s="99"/>
      <c r="H193" s="99"/>
      <c r="I193" s="99"/>
    </row>
    <row r="194" spans="1:10" s="297" customFormat="1" x14ac:dyDescent="0.25">
      <c r="J194"/>
    </row>
    <row r="196" spans="1:10" x14ac:dyDescent="0.25">
      <c r="J196" s="77"/>
    </row>
    <row r="197" spans="1:10" x14ac:dyDescent="0.25">
      <c r="J197" s="77"/>
    </row>
    <row r="198" spans="1:10" x14ac:dyDescent="0.25">
      <c r="J198" s="77"/>
    </row>
    <row r="288" spans="10:10" x14ac:dyDescent="0.25">
      <c r="J288" s="77"/>
    </row>
    <row r="310" ht="15" customHeight="1" x14ac:dyDescent="0.25"/>
  </sheetData>
  <sheetProtection algorithmName="SHA-512" hashValue="U7RxbLi+q08JnqS5avF8O6nMsRMvzcOzf/F5mZ24OfRdfzKrB1XOLgcJGak+m7ZPlZ6a8cQxolj4IXHsMyh/Ww==" saltValue="B72+nEeigzVd/gvIQ2219A==" spinCount="100000" sheet="1" insertRows="0" selectLockedCells="1"/>
  <protectedRanges>
    <protectedRange sqref="E42 E43:G43 E44:F44 F45 E46:F46 E47:G47" name="Vehicle Fleet Characteristics_1"/>
  </protectedRanges>
  <mergeCells count="11">
    <mergeCell ref="A188:G188"/>
    <mergeCell ref="C9:E9"/>
    <mergeCell ref="C10:G10"/>
    <mergeCell ref="H9:I9"/>
    <mergeCell ref="C166:F166"/>
    <mergeCell ref="A7:B7"/>
    <mergeCell ref="A1:I1"/>
    <mergeCell ref="A3:B3"/>
    <mergeCell ref="A4:B4"/>
    <mergeCell ref="A5:B5"/>
    <mergeCell ref="A6:B6"/>
  </mergeCells>
  <pageMargins left="0.43307086614173229" right="0.23622047244094491" top="0.87009803921568629" bottom="0.74803149606299213" header="0.31496062992125984" footer="0.31496062992125984"/>
  <pageSetup paperSize="9" orientation="portrait" r:id="rId1"/>
  <headerFooter>
    <oddHeader>&amp;LMALAYSIAN GREEN TECHNOLOGY AND CLIMATE CHANGE CORPORATION (MGTC)&amp;RMGTC/DC/REC/LCC-011
Version: 1/ JUNE 2022</oddHeader>
    <oddFooter>&amp;L
&amp;A&amp;R
Page &amp;P of &amp;N</oddFooter>
  </headerFooter>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96DF6-B3DA-4F1C-A0CE-1B66387F8B03}">
  <sheetPr>
    <tabColor rgb="FF3333FF"/>
  </sheetPr>
  <dimension ref="A1:N310"/>
  <sheetViews>
    <sheetView view="pageLayout" zoomScale="85" zoomScaleNormal="100" zoomScalePageLayoutView="85" workbookViewId="0">
      <selection activeCell="H171" sqref="H171"/>
    </sheetView>
  </sheetViews>
  <sheetFormatPr defaultColWidth="9.140625" defaultRowHeight="15" x14ac:dyDescent="0.25"/>
  <cols>
    <col min="1" max="1" width="6.85546875" customWidth="1"/>
    <col min="2" max="2" width="20.7109375" customWidth="1"/>
    <col min="3" max="3" width="10.5703125" customWidth="1"/>
    <col min="4" max="7" width="9.5703125" customWidth="1"/>
    <col min="8" max="9" width="10.140625" customWidth="1"/>
    <col min="10" max="10" width="12.42578125" customWidth="1"/>
  </cols>
  <sheetData>
    <row r="1" spans="1:10" ht="16.5" thickBot="1" x14ac:dyDescent="0.3">
      <c r="A1" s="475" t="s">
        <v>136</v>
      </c>
      <c r="B1" s="476"/>
      <c r="C1" s="476"/>
      <c r="D1" s="476"/>
      <c r="E1" s="476"/>
      <c r="F1" s="476"/>
      <c r="G1" s="476"/>
      <c r="H1" s="476"/>
      <c r="I1" s="477"/>
    </row>
    <row r="2" spans="1:10" ht="8.25" customHeight="1" x14ac:dyDescent="0.25"/>
    <row r="3" spans="1:10" x14ac:dyDescent="0.25">
      <c r="A3" s="470" t="s">
        <v>27</v>
      </c>
      <c r="B3" s="470"/>
      <c r="C3" s="423" t="str">
        <f>'Summary (Main)'!D11</f>
        <v>LCC-Z-B090-XX-XXXX</v>
      </c>
      <c r="D3" s="423"/>
      <c r="E3" s="423"/>
      <c r="F3" s="423"/>
      <c r="G3" s="423"/>
      <c r="H3" s="423"/>
      <c r="I3" s="423"/>
    </row>
    <row r="4" spans="1:10" x14ac:dyDescent="0.25">
      <c r="A4" s="470" t="s">
        <v>78</v>
      </c>
      <c r="B4" s="470"/>
      <c r="C4" s="423" t="str">
        <f>'Summary (Main)'!D12</f>
        <v>MAJLIS PERBANDARAN XXY</v>
      </c>
      <c r="D4" s="423"/>
      <c r="E4" s="423"/>
      <c r="F4" s="423"/>
      <c r="G4" s="423"/>
      <c r="H4" s="423"/>
      <c r="I4" s="423"/>
    </row>
    <row r="5" spans="1:10" x14ac:dyDescent="0.25">
      <c r="A5" s="470" t="s">
        <v>0</v>
      </c>
      <c r="B5" s="470"/>
      <c r="C5" s="423" t="str">
        <f>'Summary (Main)'!D13</f>
        <v>MAJLIS PERBANDARAN XXY</v>
      </c>
      <c r="D5" s="423"/>
      <c r="E5" s="423"/>
      <c r="F5" s="423"/>
      <c r="G5" s="423"/>
      <c r="H5" s="423"/>
      <c r="I5" s="423"/>
    </row>
    <row r="6" spans="1:10" x14ac:dyDescent="0.25">
      <c r="A6" s="470" t="s">
        <v>129</v>
      </c>
      <c r="B6" s="470"/>
      <c r="C6" s="423">
        <f>'Summary (Main)'!D14</f>
        <v>77432</v>
      </c>
      <c r="D6" s="423"/>
      <c r="E6" s="423"/>
      <c r="F6" s="423"/>
      <c r="G6" s="423"/>
      <c r="H6" s="423"/>
      <c r="I6" s="423"/>
    </row>
    <row r="7" spans="1:10" x14ac:dyDescent="0.25">
      <c r="A7" s="470" t="s">
        <v>137</v>
      </c>
      <c r="B7" s="470"/>
      <c r="C7" s="423">
        <f>'Summary (Main)'!D15</f>
        <v>451.36</v>
      </c>
      <c r="D7" s="423"/>
      <c r="E7" s="423"/>
      <c r="F7" s="423"/>
      <c r="G7" s="423"/>
      <c r="H7" s="423"/>
      <c r="I7" s="423"/>
    </row>
    <row r="8" spans="1:10" ht="6.75" customHeight="1" x14ac:dyDescent="0.25">
      <c r="A8" s="5"/>
      <c r="B8" s="5"/>
      <c r="C8" s="5"/>
      <c r="D8" s="5"/>
    </row>
    <row r="9" spans="1:10" x14ac:dyDescent="0.25">
      <c r="A9" s="1" t="s">
        <v>7</v>
      </c>
      <c r="B9" s="1"/>
      <c r="C9" s="514" t="s">
        <v>240</v>
      </c>
      <c r="D9" s="515"/>
      <c r="E9" s="516"/>
      <c r="F9" s="5" t="s">
        <v>12</v>
      </c>
      <c r="G9" s="5"/>
      <c r="H9" s="182" t="s">
        <v>60</v>
      </c>
      <c r="I9" s="453"/>
      <c r="J9" s="194"/>
    </row>
    <row r="10" spans="1:10" x14ac:dyDescent="0.25">
      <c r="A10" s="1" t="s">
        <v>6</v>
      </c>
      <c r="B10" s="1"/>
      <c r="C10" s="503" t="s">
        <v>139</v>
      </c>
      <c r="D10" s="504"/>
      <c r="E10" s="504"/>
      <c r="F10" s="504"/>
      <c r="G10" s="510"/>
    </row>
    <row r="11" spans="1:10" ht="15" hidden="1" customHeight="1" x14ac:dyDescent="0.25">
      <c r="A11" s="190" t="s">
        <v>127</v>
      </c>
      <c r="B11" s="190"/>
      <c r="C11" s="178" t="s">
        <v>245</v>
      </c>
      <c r="D11" s="178"/>
      <c r="E11" s="178"/>
      <c r="F11" s="178"/>
      <c r="G11" s="178"/>
      <c r="H11" s="178"/>
      <c r="I11" s="178"/>
      <c r="J11" s="178"/>
    </row>
    <row r="12" spans="1:10" ht="15" hidden="1" customHeight="1" x14ac:dyDescent="0.25">
      <c r="A12" s="1" t="s">
        <v>9</v>
      </c>
      <c r="B12" s="1"/>
      <c r="D12" t="s">
        <v>68</v>
      </c>
      <c r="F12" s="13">
        <f>'Mobility 2 - Estimate'!G13</f>
        <v>1.92</v>
      </c>
      <c r="G12" t="s">
        <v>71</v>
      </c>
      <c r="I12" s="194" t="s">
        <v>72</v>
      </c>
      <c r="J12" s="194"/>
    </row>
    <row r="13" spans="1:10" ht="15" hidden="1" customHeight="1" x14ac:dyDescent="0.25">
      <c r="D13" t="s">
        <v>69</v>
      </c>
      <c r="F13" s="13">
        <f>'Mobility 2 - Estimate'!G14</f>
        <v>2.74</v>
      </c>
      <c r="G13" t="s">
        <v>71</v>
      </c>
      <c r="I13" s="194" t="s">
        <v>72</v>
      </c>
      <c r="J13" s="194"/>
    </row>
    <row r="14" spans="1:10" ht="15" hidden="1" customHeight="1" x14ac:dyDescent="0.25">
      <c r="D14" t="s">
        <v>70</v>
      </c>
      <c r="F14" s="13">
        <f>'Mobility 2 - Estimate'!G15</f>
        <v>59.19</v>
      </c>
      <c r="G14" t="s">
        <v>81</v>
      </c>
      <c r="I14" s="194" t="s">
        <v>72</v>
      </c>
      <c r="J14" s="194"/>
    </row>
    <row r="15" spans="1:10" ht="15" hidden="1" customHeight="1" x14ac:dyDescent="0.25">
      <c r="D15" t="s">
        <v>61</v>
      </c>
      <c r="F15" s="13">
        <f>'Mobility 2 - Estimate'!G16</f>
        <v>0.18368000000000001</v>
      </c>
      <c r="G15" t="s">
        <v>62</v>
      </c>
      <c r="I15" s="194" t="s">
        <v>63</v>
      </c>
      <c r="J15" s="194"/>
    </row>
    <row r="16" spans="1:10" ht="15" hidden="1" customHeight="1" x14ac:dyDescent="0.25">
      <c r="D16" t="s">
        <v>64</v>
      </c>
      <c r="F16" s="13">
        <f>'Mobility 2 - Estimate'!G17</f>
        <v>0.11529</v>
      </c>
      <c r="G16" t="s">
        <v>62</v>
      </c>
      <c r="I16" s="194" t="s">
        <v>63</v>
      </c>
      <c r="J16" s="194"/>
    </row>
    <row r="17" spans="4:10" ht="15" hidden="1" customHeight="1" x14ac:dyDescent="0.25">
      <c r="D17" t="s">
        <v>65</v>
      </c>
      <c r="F17" s="13">
        <f>'Mobility 2 - Estimate'!G18</f>
        <v>0.79100000000000004</v>
      </c>
      <c r="G17" t="s">
        <v>62</v>
      </c>
      <c r="I17" s="194" t="s">
        <v>66</v>
      </c>
      <c r="J17" s="194"/>
    </row>
    <row r="18" spans="4:10" ht="15" hidden="1" customHeight="1" x14ac:dyDescent="0.25">
      <c r="D18" s="204" t="s">
        <v>250</v>
      </c>
      <c r="E18" s="6"/>
      <c r="F18" s="13">
        <f>'Mobility 2 - Estimate'!G19</f>
        <v>59.4</v>
      </c>
      <c r="G18" s="3" t="s">
        <v>182</v>
      </c>
      <c r="H18" s="3"/>
      <c r="I18" s="182"/>
      <c r="J18" s="182"/>
    </row>
    <row r="19" spans="4:10" ht="15" hidden="1" customHeight="1" x14ac:dyDescent="0.25">
      <c r="D19" s="6" t="s">
        <v>183</v>
      </c>
      <c r="E19" s="6"/>
      <c r="F19" s="13">
        <f>'Mobility 2 - Estimate'!G20</f>
        <v>98.8</v>
      </c>
      <c r="G19" s="3" t="s">
        <v>182</v>
      </c>
      <c r="H19" s="3"/>
      <c r="I19" s="182"/>
      <c r="J19" s="182"/>
    </row>
    <row r="20" spans="4:10" ht="15" hidden="1" customHeight="1" x14ac:dyDescent="0.25">
      <c r="D20" s="6" t="s">
        <v>184</v>
      </c>
      <c r="E20" s="6"/>
      <c r="F20" s="13">
        <f>'Mobility 2 - Estimate'!G21</f>
        <v>125</v>
      </c>
      <c r="G20" s="3" t="s">
        <v>182</v>
      </c>
      <c r="H20" s="3"/>
      <c r="I20" s="182"/>
      <c r="J20" s="182"/>
    </row>
    <row r="21" spans="4:10" ht="15" hidden="1" customHeight="1" x14ac:dyDescent="0.25">
      <c r="D21" s="204" t="s">
        <v>255</v>
      </c>
      <c r="E21" s="6"/>
      <c r="F21" s="13">
        <f>'Mobility 2 - Estimate'!G22</f>
        <v>273</v>
      </c>
      <c r="G21" s="3" t="s">
        <v>182</v>
      </c>
      <c r="H21" s="3"/>
      <c r="I21" s="182"/>
      <c r="J21" s="182"/>
    </row>
    <row r="22" spans="4:10" ht="15" hidden="1" customHeight="1" x14ac:dyDescent="0.25">
      <c r="D22" s="204" t="s">
        <v>254</v>
      </c>
      <c r="E22" s="6"/>
      <c r="F22" s="13">
        <f>'Mobility 2 - Estimate'!G23</f>
        <v>228</v>
      </c>
      <c r="G22" s="3" t="s">
        <v>182</v>
      </c>
      <c r="H22" s="3"/>
      <c r="I22" s="182"/>
      <c r="J22" s="182"/>
    </row>
    <row r="23" spans="4:10" ht="15" hidden="1" customHeight="1" x14ac:dyDescent="0.25">
      <c r="D23" s="204" t="s">
        <v>253</v>
      </c>
      <c r="E23" s="6"/>
      <c r="F23" s="13">
        <f>'Mobility 2 - Estimate'!G24</f>
        <v>203</v>
      </c>
      <c r="G23" s="3" t="s">
        <v>182</v>
      </c>
      <c r="H23" s="3"/>
      <c r="I23" s="182"/>
      <c r="J23" s="182"/>
    </row>
    <row r="24" spans="4:10" ht="15" hidden="1" customHeight="1" x14ac:dyDescent="0.25">
      <c r="D24" s="6" t="s">
        <v>185</v>
      </c>
      <c r="E24" s="6"/>
      <c r="F24" s="13">
        <f>'Mobility 2 - Estimate'!G25</f>
        <v>193</v>
      </c>
      <c r="G24" s="3" t="s">
        <v>182</v>
      </c>
      <c r="H24" s="3"/>
      <c r="I24" s="182"/>
      <c r="J24" s="182"/>
    </row>
    <row r="25" spans="4:10" ht="15" hidden="1" customHeight="1" x14ac:dyDescent="0.25">
      <c r="D25" s="6" t="s">
        <v>186</v>
      </c>
      <c r="E25" s="6"/>
      <c r="F25" s="13">
        <f>'Mobility 2 - Estimate'!G26</f>
        <v>221</v>
      </c>
      <c r="G25" s="3" t="s">
        <v>182</v>
      </c>
      <c r="H25" s="3"/>
      <c r="I25" s="182"/>
      <c r="J25" s="182"/>
    </row>
    <row r="26" spans="4:10" ht="15" hidden="1" customHeight="1" x14ac:dyDescent="0.25">
      <c r="D26" s="113" t="s">
        <v>208</v>
      </c>
      <c r="E26" s="6"/>
      <c r="F26" s="13">
        <f>'Mobility 2 - Estimate'!G27</f>
        <v>379</v>
      </c>
      <c r="G26" s="3" t="s">
        <v>182</v>
      </c>
      <c r="H26" s="3"/>
      <c r="I26" s="182"/>
      <c r="J26" s="182"/>
    </row>
    <row r="27" spans="4:10" ht="15" hidden="1" customHeight="1" x14ac:dyDescent="0.25">
      <c r="D27" s="113" t="s">
        <v>209</v>
      </c>
      <c r="E27" s="6"/>
      <c r="F27" s="13">
        <f>'Mobility 2 - Estimate'!G28</f>
        <v>148</v>
      </c>
      <c r="G27" s="3" t="s">
        <v>182</v>
      </c>
      <c r="H27" s="3"/>
      <c r="I27" s="182"/>
      <c r="J27" s="182"/>
    </row>
    <row r="28" spans="4:10" ht="15" hidden="1" customHeight="1" x14ac:dyDescent="0.25">
      <c r="D28" s="6" t="s">
        <v>187</v>
      </c>
      <c r="E28" s="6"/>
      <c r="F28" s="13">
        <f>'Mobility 2 - Estimate'!G29</f>
        <v>329</v>
      </c>
      <c r="G28" s="3" t="s">
        <v>182</v>
      </c>
      <c r="H28" s="3"/>
      <c r="I28" s="182"/>
      <c r="J28" s="182"/>
    </row>
    <row r="29" spans="4:10" ht="15" hidden="1" customHeight="1" x14ac:dyDescent="0.25">
      <c r="D29" s="113" t="s">
        <v>211</v>
      </c>
      <c r="E29" s="6"/>
      <c r="F29" s="13">
        <f>'Mobility 2 - Estimate'!G30</f>
        <v>286</v>
      </c>
      <c r="G29" s="3" t="s">
        <v>182</v>
      </c>
      <c r="H29" s="3"/>
      <c r="I29" s="182"/>
      <c r="J29" s="182"/>
    </row>
    <row r="30" spans="4:10" ht="15" hidden="1" customHeight="1" x14ac:dyDescent="0.25">
      <c r="D30" s="6" t="s">
        <v>188</v>
      </c>
      <c r="E30" s="6"/>
      <c r="F30" s="13">
        <f>'Mobility 2 - Estimate'!G31</f>
        <v>781</v>
      </c>
      <c r="G30" s="3" t="s">
        <v>182</v>
      </c>
      <c r="H30" s="3"/>
      <c r="I30" s="182"/>
      <c r="J30" s="182"/>
    </row>
    <row r="31" spans="4:10" ht="15" hidden="1" customHeight="1" x14ac:dyDescent="0.25">
      <c r="D31" s="113" t="s">
        <v>205</v>
      </c>
      <c r="E31" s="6"/>
      <c r="F31" s="13">
        <f>'Mobility 2 - Estimate'!G32</f>
        <v>329</v>
      </c>
      <c r="G31" s="3" t="s">
        <v>182</v>
      </c>
      <c r="H31" s="3"/>
      <c r="I31" s="182"/>
      <c r="J31" s="182"/>
    </row>
    <row r="32" spans="4:10" ht="15" hidden="1" customHeight="1" x14ac:dyDescent="0.25">
      <c r="D32" s="6" t="s">
        <v>189</v>
      </c>
      <c r="E32" s="6"/>
      <c r="F32" s="13">
        <f>'Mobility 2 - Estimate'!G33</f>
        <v>286</v>
      </c>
      <c r="G32" s="3" t="s">
        <v>182</v>
      </c>
      <c r="H32" s="3"/>
      <c r="I32" s="182"/>
      <c r="J32" s="182"/>
    </row>
    <row r="33" spans="1:10" ht="15" hidden="1" customHeight="1" x14ac:dyDescent="0.25">
      <c r="D33" s="6" t="s">
        <v>190</v>
      </c>
      <c r="E33" s="6"/>
      <c r="F33" s="13">
        <f>'Mobility 2 - Estimate'!G34</f>
        <v>781</v>
      </c>
      <c r="G33" s="3" t="s">
        <v>182</v>
      </c>
      <c r="H33" s="3"/>
      <c r="I33" s="182"/>
      <c r="J33" s="182"/>
    </row>
    <row r="34" spans="1:10" ht="15" hidden="1" customHeight="1" x14ac:dyDescent="0.25">
      <c r="D34" s="204" t="s">
        <v>256</v>
      </c>
      <c r="E34" s="6"/>
      <c r="F34" s="13">
        <f>'Mobility 2 - Estimate'!G35</f>
        <v>1110</v>
      </c>
      <c r="G34" s="3" t="s">
        <v>182</v>
      </c>
      <c r="H34" s="3"/>
      <c r="I34" s="182"/>
      <c r="J34" s="182"/>
    </row>
    <row r="35" spans="1:10" ht="15" hidden="1" customHeight="1" x14ac:dyDescent="0.25">
      <c r="D35" s="204" t="s">
        <v>257</v>
      </c>
      <c r="E35" s="6"/>
      <c r="F35" s="13">
        <f>'Mobility 2 - Estimate'!G36</f>
        <v>613</v>
      </c>
      <c r="G35" s="3" t="s">
        <v>182</v>
      </c>
      <c r="H35" s="3"/>
      <c r="I35" s="182"/>
      <c r="J35" s="182"/>
    </row>
    <row r="36" spans="1:10" ht="15" hidden="1" customHeight="1" x14ac:dyDescent="0.25">
      <c r="D36" s="204" t="s">
        <v>258</v>
      </c>
      <c r="E36" s="6"/>
      <c r="F36" s="13">
        <f>'Mobility 2 - Estimate'!G37</f>
        <v>1200</v>
      </c>
      <c r="G36" s="3" t="s">
        <v>182</v>
      </c>
      <c r="H36" s="3"/>
      <c r="I36" s="182"/>
      <c r="J36" s="182"/>
    </row>
    <row r="37" spans="1:10" ht="15" hidden="1" customHeight="1" x14ac:dyDescent="0.25">
      <c r="D37" s="204" t="s">
        <v>259</v>
      </c>
      <c r="E37" s="6"/>
      <c r="F37" s="13">
        <f>'Mobility 2 - Estimate'!G38</f>
        <v>909</v>
      </c>
      <c r="G37" s="3" t="s">
        <v>182</v>
      </c>
      <c r="H37" s="3"/>
      <c r="I37" s="182"/>
      <c r="J37" s="182"/>
    </row>
    <row r="38" spans="1:10" ht="14.25" hidden="1" customHeight="1" x14ac:dyDescent="0.25">
      <c r="A38" s="1"/>
      <c r="B38" s="1"/>
      <c r="D38" s="6"/>
      <c r="G38" s="3"/>
      <c r="H38" s="3"/>
      <c r="I38" s="182"/>
      <c r="J38" s="182"/>
    </row>
    <row r="39" spans="1:10" s="189" customFormat="1" ht="15" hidden="1" customHeight="1" x14ac:dyDescent="0.25">
      <c r="A39" s="47" t="s">
        <v>127</v>
      </c>
      <c r="B39" s="47"/>
      <c r="C39" s="43" t="s">
        <v>246</v>
      </c>
      <c r="D39" s="190"/>
      <c r="E39" s="190"/>
      <c r="F39" s="191"/>
      <c r="G39" s="192"/>
      <c r="H39" s="192"/>
      <c r="I39" s="193"/>
      <c r="J39" s="193"/>
    </row>
    <row r="40" spans="1:10" s="172" customFormat="1" ht="15" hidden="1" customHeight="1" x14ac:dyDescent="0.25">
      <c r="A40" s="47" t="s">
        <v>127</v>
      </c>
      <c r="B40" s="47"/>
      <c r="C40" s="43" t="s">
        <v>215</v>
      </c>
      <c r="D40" s="173"/>
      <c r="E40" s="173"/>
      <c r="F40" s="174"/>
      <c r="G40" s="175"/>
      <c r="H40" s="175"/>
      <c r="I40" s="176"/>
      <c r="J40" s="176"/>
    </row>
    <row r="41" spans="1:10" ht="33.75" hidden="1" customHeight="1" x14ac:dyDescent="0.25">
      <c r="C41" s="158">
        <v>2</v>
      </c>
      <c r="D41" s="171" t="s">
        <v>216</v>
      </c>
      <c r="E41" s="155" t="s">
        <v>166</v>
      </c>
      <c r="F41" s="155" t="s">
        <v>69</v>
      </c>
      <c r="G41" s="155" t="s">
        <v>70</v>
      </c>
      <c r="H41" s="159" t="s">
        <v>220</v>
      </c>
      <c r="I41" s="182"/>
      <c r="J41" s="182"/>
    </row>
    <row r="42" spans="1:10" ht="15" hidden="1" customHeight="1" x14ac:dyDescent="0.25">
      <c r="D42" s="156" t="s">
        <v>147</v>
      </c>
      <c r="E42" s="162">
        <v>100</v>
      </c>
      <c r="F42" s="157"/>
      <c r="G42" s="157"/>
      <c r="H42" s="169">
        <f>SUM(E42)</f>
        <v>100</v>
      </c>
      <c r="I42" s="182"/>
      <c r="J42" s="182"/>
    </row>
    <row r="43" spans="1:10" ht="15" hidden="1" customHeight="1" x14ac:dyDescent="0.25">
      <c r="D43" s="156" t="s">
        <v>217</v>
      </c>
      <c r="E43" s="162">
        <v>95</v>
      </c>
      <c r="F43" s="162">
        <v>0</v>
      </c>
      <c r="G43" s="162">
        <v>5</v>
      </c>
      <c r="H43" s="169">
        <f>SUM(E43:G43)</f>
        <v>100</v>
      </c>
      <c r="I43" s="182"/>
      <c r="J43" s="182"/>
    </row>
    <row r="44" spans="1:10" ht="15" hidden="1" customHeight="1" x14ac:dyDescent="0.25">
      <c r="D44" s="156" t="s">
        <v>149</v>
      </c>
      <c r="E44" s="162">
        <v>90</v>
      </c>
      <c r="F44" s="162">
        <v>10</v>
      </c>
      <c r="G44" s="157"/>
      <c r="H44" s="169">
        <f>SUM(E44:F44)</f>
        <v>100</v>
      </c>
      <c r="I44" s="182"/>
      <c r="J44" s="182"/>
    </row>
    <row r="45" spans="1:10" ht="15" hidden="1" customHeight="1" x14ac:dyDescent="0.25">
      <c r="D45" s="156" t="s">
        <v>150</v>
      </c>
      <c r="E45" s="157"/>
      <c r="F45" s="162">
        <v>100</v>
      </c>
      <c r="G45" s="157"/>
      <c r="H45" s="169">
        <f>SUM(E45:G45)</f>
        <v>100</v>
      </c>
      <c r="I45" s="182"/>
      <c r="J45" s="182"/>
    </row>
    <row r="46" spans="1:10" ht="15" hidden="1" customHeight="1" x14ac:dyDescent="0.25">
      <c r="D46" s="156" t="s">
        <v>218</v>
      </c>
      <c r="E46" s="162">
        <v>10</v>
      </c>
      <c r="F46" s="162">
        <v>90</v>
      </c>
      <c r="G46" s="157"/>
      <c r="H46" s="169">
        <f>SUM(E46:G46)</f>
        <v>100</v>
      </c>
      <c r="I46" s="182"/>
      <c r="J46" s="182"/>
    </row>
    <row r="47" spans="1:10" ht="15" hidden="1" customHeight="1" x14ac:dyDescent="0.25">
      <c r="D47" s="156" t="s">
        <v>219</v>
      </c>
      <c r="E47" s="162">
        <v>0</v>
      </c>
      <c r="F47" s="162">
        <v>90</v>
      </c>
      <c r="G47" s="162">
        <v>10</v>
      </c>
      <c r="H47" s="169">
        <f>SUM(E47:G47)</f>
        <v>100</v>
      </c>
      <c r="I47" s="182"/>
      <c r="J47" s="182"/>
    </row>
    <row r="48" spans="1:10" ht="15" hidden="1" customHeight="1" x14ac:dyDescent="0.25">
      <c r="D48" s="6"/>
      <c r="E48" s="6"/>
      <c r="F48" s="13"/>
      <c r="G48" s="3"/>
      <c r="H48" s="3"/>
      <c r="I48" s="182"/>
      <c r="J48" s="182"/>
    </row>
    <row r="49" spans="3:14" ht="15" hidden="1" customHeight="1" x14ac:dyDescent="0.25">
      <c r="C49" s="164">
        <v>3</v>
      </c>
      <c r="D49" s="5" t="s">
        <v>229</v>
      </c>
      <c r="E49" s="6"/>
      <c r="F49" s="13"/>
      <c r="G49" s="3"/>
      <c r="H49" s="3"/>
      <c r="I49" s="182"/>
      <c r="J49" s="182"/>
    </row>
    <row r="50" spans="3:14" s="151" customFormat="1" ht="51" hidden="1" customHeight="1" x14ac:dyDescent="0.2">
      <c r="D50" s="165" t="s">
        <v>221</v>
      </c>
      <c r="E50" s="163" t="s">
        <v>206</v>
      </c>
      <c r="F50" s="163" t="s">
        <v>222</v>
      </c>
      <c r="G50" s="163" t="s">
        <v>223</v>
      </c>
      <c r="H50" s="163" t="s">
        <v>224</v>
      </c>
      <c r="I50" s="163" t="s">
        <v>225</v>
      </c>
      <c r="J50" s="163" t="s">
        <v>226</v>
      </c>
      <c r="K50" s="163" t="s">
        <v>227</v>
      </c>
      <c r="L50" s="163" t="s">
        <v>167</v>
      </c>
      <c r="M50" s="163" t="s">
        <v>168</v>
      </c>
      <c r="N50" s="163" t="s">
        <v>228</v>
      </c>
    </row>
    <row r="51" spans="3:14" ht="15" hidden="1" customHeight="1" x14ac:dyDescent="0.25">
      <c r="D51" s="162" t="s">
        <v>147</v>
      </c>
      <c r="E51" s="157"/>
      <c r="F51" s="157"/>
      <c r="G51" s="157"/>
      <c r="H51" s="157"/>
      <c r="I51" s="157"/>
      <c r="J51" s="157"/>
      <c r="K51" s="162">
        <v>5</v>
      </c>
      <c r="L51" s="162">
        <v>20</v>
      </c>
      <c r="M51" s="162">
        <v>75</v>
      </c>
      <c r="N51" s="170">
        <f>SUM(K51:M51)</f>
        <v>100</v>
      </c>
    </row>
    <row r="52" spans="3:14" ht="15" hidden="1" customHeight="1" x14ac:dyDescent="0.25">
      <c r="D52" s="162" t="s">
        <v>217</v>
      </c>
      <c r="E52" s="162">
        <v>5</v>
      </c>
      <c r="F52" s="157"/>
      <c r="G52" s="162">
        <v>5</v>
      </c>
      <c r="H52" s="162">
        <v>10</v>
      </c>
      <c r="I52" s="162">
        <v>30</v>
      </c>
      <c r="J52" s="162">
        <v>50</v>
      </c>
      <c r="K52" s="157"/>
      <c r="L52" s="157"/>
      <c r="M52" s="157"/>
      <c r="N52" s="170">
        <f>SUM(E52,G52:J52)</f>
        <v>100</v>
      </c>
    </row>
    <row r="53" spans="3:14" ht="15" hidden="1" customHeight="1" x14ac:dyDescent="0.25">
      <c r="D53" s="162" t="s">
        <v>149</v>
      </c>
      <c r="E53" s="157"/>
      <c r="F53" s="162">
        <v>100</v>
      </c>
      <c r="G53" s="157"/>
      <c r="H53" s="157"/>
      <c r="I53" s="157"/>
      <c r="J53" s="157"/>
      <c r="K53" s="157"/>
      <c r="L53" s="157"/>
      <c r="M53" s="157"/>
      <c r="N53" s="170">
        <f>SUM(F53)</f>
        <v>100</v>
      </c>
    </row>
    <row r="54" spans="3:14" ht="15" hidden="1" customHeight="1" x14ac:dyDescent="0.25">
      <c r="D54" s="162" t="s">
        <v>150</v>
      </c>
      <c r="E54" s="157"/>
      <c r="F54" s="157"/>
      <c r="G54" s="157"/>
      <c r="H54" s="157"/>
      <c r="I54" s="157"/>
      <c r="J54" s="157"/>
      <c r="K54" s="157"/>
      <c r="L54" s="157"/>
      <c r="M54" s="157"/>
      <c r="N54" s="170">
        <v>0</v>
      </c>
    </row>
    <row r="55" spans="3:14" ht="15" hidden="1" customHeight="1" x14ac:dyDescent="0.25">
      <c r="D55" s="162" t="s">
        <v>218</v>
      </c>
      <c r="E55" s="157"/>
      <c r="F55" s="162">
        <v>100</v>
      </c>
      <c r="G55" s="157"/>
      <c r="H55" s="157"/>
      <c r="I55" s="157"/>
      <c r="J55" s="157"/>
      <c r="K55" s="157"/>
      <c r="L55" s="157"/>
      <c r="M55" s="157"/>
      <c r="N55" s="170">
        <f>SUM(F55)</f>
        <v>100</v>
      </c>
    </row>
    <row r="56" spans="3:14" ht="15" hidden="1" customHeight="1" x14ac:dyDescent="0.25">
      <c r="D56" s="162" t="s">
        <v>219</v>
      </c>
      <c r="E56" s="162">
        <f xml:space="preserve"> [1]Fleet!D34/100 * [1]Calc1!D37</f>
        <v>0</v>
      </c>
      <c r="F56" s="157"/>
      <c r="G56" s="157"/>
      <c r="H56" s="157"/>
      <c r="I56" s="157"/>
      <c r="J56" s="157"/>
      <c r="K56" s="157"/>
      <c r="L56" s="157"/>
      <c r="M56" s="157"/>
      <c r="N56" s="170">
        <f>SUM(E56)</f>
        <v>0</v>
      </c>
    </row>
    <row r="57" spans="3:14" ht="15" hidden="1" customHeight="1" x14ac:dyDescent="0.25">
      <c r="D57" s="5" t="s">
        <v>232</v>
      </c>
      <c r="E57" s="6"/>
      <c r="F57" s="13"/>
      <c r="G57" s="3"/>
      <c r="H57" s="3"/>
      <c r="I57" s="182"/>
      <c r="J57" s="182"/>
    </row>
    <row r="58" spans="3:14" ht="60" hidden="1" customHeight="1" x14ac:dyDescent="0.25">
      <c r="D58" s="160" t="s">
        <v>230</v>
      </c>
      <c r="E58" s="161" t="s">
        <v>222</v>
      </c>
      <c r="F58" s="161" t="s">
        <v>231</v>
      </c>
      <c r="G58" s="3"/>
      <c r="H58" s="3"/>
      <c r="I58" s="182"/>
      <c r="J58" s="182"/>
    </row>
    <row r="59" spans="3:14" ht="15" hidden="1" customHeight="1" x14ac:dyDescent="0.25">
      <c r="D59" s="162" t="s">
        <v>147</v>
      </c>
      <c r="E59" s="157"/>
      <c r="F59" s="169">
        <v>0</v>
      </c>
      <c r="G59" s="3"/>
      <c r="H59" s="3"/>
      <c r="I59" s="182"/>
      <c r="J59" s="182"/>
    </row>
    <row r="60" spans="3:14" ht="15" hidden="1" customHeight="1" x14ac:dyDescent="0.25">
      <c r="D60" s="162" t="s">
        <v>217</v>
      </c>
      <c r="E60" s="162">
        <f xml:space="preserve"> [1]Fleet!D40/100 * [1]Calc1!E33</f>
        <v>0</v>
      </c>
      <c r="F60" s="169">
        <f>SUM(E60)</f>
        <v>0</v>
      </c>
      <c r="G60" s="3"/>
      <c r="H60" s="3"/>
      <c r="I60" s="182"/>
      <c r="J60" s="182"/>
    </row>
    <row r="61" spans="3:14" ht="15" hidden="1" customHeight="1" x14ac:dyDescent="0.25">
      <c r="D61" s="162" t="s">
        <v>149</v>
      </c>
      <c r="E61" s="162">
        <v>100</v>
      </c>
      <c r="F61" s="169">
        <f>SUM(E61)</f>
        <v>100</v>
      </c>
      <c r="G61" s="3"/>
      <c r="H61" s="3"/>
      <c r="I61" s="182"/>
      <c r="J61" s="182"/>
    </row>
    <row r="62" spans="3:14" ht="15" hidden="1" customHeight="1" x14ac:dyDescent="0.25">
      <c r="D62" s="162" t="s">
        <v>150</v>
      </c>
      <c r="E62" s="162">
        <v>100</v>
      </c>
      <c r="F62" s="169">
        <f>SUM(E62)</f>
        <v>100</v>
      </c>
      <c r="G62" s="3"/>
      <c r="H62" s="3"/>
      <c r="I62" s="182"/>
      <c r="J62" s="182"/>
    </row>
    <row r="63" spans="3:14" ht="15" hidden="1" customHeight="1" x14ac:dyDescent="0.25">
      <c r="D63" s="162" t="s">
        <v>218</v>
      </c>
      <c r="E63" s="162">
        <v>100</v>
      </c>
      <c r="F63" s="169">
        <f>SUM(E63)</f>
        <v>100</v>
      </c>
      <c r="G63" s="3"/>
      <c r="H63" s="3"/>
      <c r="I63" s="182"/>
      <c r="J63" s="182"/>
    </row>
    <row r="64" spans="3:14" ht="15" hidden="1" customHeight="1" x14ac:dyDescent="0.25">
      <c r="D64" s="162" t="s">
        <v>219</v>
      </c>
      <c r="E64" s="162">
        <v>100</v>
      </c>
      <c r="F64" s="169">
        <f>SUM(E64)</f>
        <v>100</v>
      </c>
      <c r="G64" s="3"/>
      <c r="H64" s="3"/>
      <c r="I64" s="182"/>
      <c r="J64" s="182"/>
    </row>
    <row r="65" spans="1:11" ht="15" hidden="1" customHeight="1" x14ac:dyDescent="0.25">
      <c r="D65" s="166"/>
      <c r="E65" s="166"/>
      <c r="F65" s="166"/>
      <c r="G65" s="3"/>
      <c r="H65" s="3"/>
      <c r="I65" s="182"/>
      <c r="J65" s="182"/>
    </row>
    <row r="66" spans="1:11" ht="15" hidden="1" customHeight="1" x14ac:dyDescent="0.25">
      <c r="D66" s="5" t="s">
        <v>70</v>
      </c>
      <c r="E66" s="6"/>
      <c r="F66" s="13"/>
      <c r="G66" s="3"/>
      <c r="H66" s="3"/>
      <c r="I66" s="182"/>
      <c r="J66" s="182"/>
    </row>
    <row r="67" spans="1:11" ht="75" hidden="1" customHeight="1" x14ac:dyDescent="0.25">
      <c r="D67" s="167" t="s">
        <v>233</v>
      </c>
      <c r="E67" s="161" t="s">
        <v>206</v>
      </c>
      <c r="F67" s="161" t="s">
        <v>234</v>
      </c>
      <c r="G67" s="161" t="s">
        <v>235</v>
      </c>
      <c r="H67" s="161" t="s">
        <v>236</v>
      </c>
      <c r="I67" s="161" t="s">
        <v>237</v>
      </c>
      <c r="J67" s="161" t="s">
        <v>238</v>
      </c>
      <c r="K67" s="161" t="s">
        <v>239</v>
      </c>
    </row>
    <row r="68" spans="1:11" ht="15" hidden="1" customHeight="1" x14ac:dyDescent="0.25">
      <c r="D68" s="162" t="s">
        <v>147</v>
      </c>
      <c r="E68" s="157"/>
      <c r="F68" s="157"/>
      <c r="G68" s="157"/>
      <c r="H68" s="157"/>
      <c r="I68" s="157"/>
      <c r="J68" s="157"/>
      <c r="K68" s="169">
        <v>0</v>
      </c>
    </row>
    <row r="69" spans="1:11" ht="15" hidden="1" customHeight="1" x14ac:dyDescent="0.25">
      <c r="D69" s="162" t="s">
        <v>217</v>
      </c>
      <c r="E69" s="162">
        <v>50</v>
      </c>
      <c r="F69" s="162">
        <v>50</v>
      </c>
      <c r="G69" s="157"/>
      <c r="H69" s="157"/>
      <c r="I69" s="157"/>
      <c r="J69" s="157"/>
      <c r="K69" s="169">
        <f>SUM(E69:F69)</f>
        <v>100</v>
      </c>
    </row>
    <row r="70" spans="1:11" ht="15" hidden="1" customHeight="1" x14ac:dyDescent="0.25">
      <c r="D70" s="162" t="s">
        <v>149</v>
      </c>
      <c r="E70" s="157"/>
      <c r="F70" s="157"/>
      <c r="G70" s="157"/>
      <c r="H70" s="157"/>
      <c r="I70" s="157"/>
      <c r="J70" s="157"/>
      <c r="K70" s="169">
        <v>0</v>
      </c>
    </row>
    <row r="71" spans="1:11" ht="15" hidden="1" customHeight="1" x14ac:dyDescent="0.25">
      <c r="D71" s="162" t="s">
        <v>150</v>
      </c>
      <c r="E71" s="157"/>
      <c r="F71" s="157"/>
      <c r="G71" s="157"/>
      <c r="H71" s="157"/>
      <c r="I71" s="157"/>
      <c r="J71" s="157"/>
      <c r="K71" s="169">
        <v>0</v>
      </c>
    </row>
    <row r="72" spans="1:11" ht="15" hidden="1" customHeight="1" x14ac:dyDescent="0.25">
      <c r="D72" s="162" t="s">
        <v>218</v>
      </c>
      <c r="E72" s="157"/>
      <c r="F72" s="157"/>
      <c r="G72" s="157"/>
      <c r="H72" s="157"/>
      <c r="I72" s="157"/>
      <c r="J72" s="157"/>
      <c r="K72" s="169">
        <v>0</v>
      </c>
    </row>
    <row r="73" spans="1:11" ht="15" hidden="1" customHeight="1" x14ac:dyDescent="0.25">
      <c r="D73" s="162" t="s">
        <v>219</v>
      </c>
      <c r="E73" s="157"/>
      <c r="F73" s="157"/>
      <c r="G73" s="162">
        <v>50</v>
      </c>
      <c r="H73" s="162">
        <v>40</v>
      </c>
      <c r="I73" s="162">
        <v>0</v>
      </c>
      <c r="J73" s="162">
        <v>10</v>
      </c>
      <c r="K73" s="169">
        <f>SUM(G73:J73)</f>
        <v>100</v>
      </c>
    </row>
    <row r="74" spans="1:11" ht="15" hidden="1" customHeight="1" x14ac:dyDescent="0.25">
      <c r="D74" s="6"/>
      <c r="E74" s="6"/>
      <c r="F74" s="13"/>
      <c r="G74" s="3"/>
      <c r="H74" s="3"/>
      <c r="I74" s="182"/>
      <c r="J74" s="182"/>
    </row>
    <row r="75" spans="1:11" s="43" customFormat="1" ht="15" hidden="1" customHeight="1" x14ac:dyDescent="0.25">
      <c r="A75" s="47" t="s">
        <v>127</v>
      </c>
      <c r="B75" s="47"/>
      <c r="C75" s="43" t="s">
        <v>246</v>
      </c>
      <c r="D75" s="178"/>
      <c r="E75" s="178"/>
      <c r="F75" s="179"/>
      <c r="G75" s="180"/>
      <c r="H75" s="180"/>
      <c r="I75" s="181"/>
      <c r="J75" s="181"/>
    </row>
    <row r="76" spans="1:11" s="177" customFormat="1" x14ac:dyDescent="0.25">
      <c r="A76" s="82"/>
      <c r="B76" s="82"/>
      <c r="D76" s="244"/>
      <c r="E76" s="244"/>
      <c r="F76" s="245"/>
      <c r="G76" s="246"/>
      <c r="H76" s="246"/>
      <c r="I76" s="247"/>
      <c r="J76" s="247"/>
    </row>
    <row r="77" spans="1:11" s="172" customFormat="1" ht="15.75" hidden="1" customHeight="1" thickBot="1" x14ac:dyDescent="0.3">
      <c r="A77" s="249" t="s">
        <v>127</v>
      </c>
      <c r="B77" s="249"/>
      <c r="C77" s="249" t="s">
        <v>244</v>
      </c>
      <c r="D77" s="250"/>
      <c r="E77" s="250"/>
      <c r="F77" s="250"/>
      <c r="G77" s="250"/>
      <c r="H77" s="250"/>
      <c r="I77" s="250"/>
      <c r="J77" s="251"/>
    </row>
    <row r="78" spans="1:11" ht="15" hidden="1" customHeight="1" x14ac:dyDescent="0.25">
      <c r="A78" s="13"/>
      <c r="B78" s="13"/>
      <c r="C78" s="13"/>
      <c r="D78" s="13"/>
      <c r="E78" s="13"/>
      <c r="F78" s="13"/>
      <c r="G78" s="13"/>
      <c r="H78" s="13"/>
      <c r="I78" s="13"/>
      <c r="J78" s="89"/>
    </row>
    <row r="79" spans="1:11" ht="15" hidden="1" customHeight="1" x14ac:dyDescent="0.25">
      <c r="A79" s="83">
        <v>1</v>
      </c>
      <c r="B79" s="83"/>
      <c r="C79" s="446" t="s">
        <v>164</v>
      </c>
      <c r="D79" s="446"/>
      <c r="E79" s="446"/>
      <c r="F79" s="446"/>
      <c r="J79" s="89"/>
    </row>
    <row r="80" spans="1:11" ht="15" hidden="1" customHeight="1" x14ac:dyDescent="0.25">
      <c r="A80" s="448" t="s">
        <v>163</v>
      </c>
      <c r="B80" s="383"/>
      <c r="C80" s="450"/>
      <c r="D80" s="72" t="s">
        <v>147</v>
      </c>
      <c r="E80" s="72" t="s">
        <v>148</v>
      </c>
      <c r="F80" s="72" t="s">
        <v>149</v>
      </c>
      <c r="G80" s="72" t="s">
        <v>150</v>
      </c>
      <c r="H80" s="72" t="s">
        <v>151</v>
      </c>
      <c r="I80" s="72" t="s">
        <v>152</v>
      </c>
      <c r="J80" s="89"/>
    </row>
    <row r="81" spans="1:10" ht="15" hidden="1" customHeight="1" x14ac:dyDescent="0.25">
      <c r="A81" s="449"/>
      <c r="B81" s="384"/>
      <c r="C81" s="451"/>
      <c r="D81" s="2" t="s">
        <v>175</v>
      </c>
      <c r="E81" s="2"/>
      <c r="F81" s="2"/>
      <c r="G81" s="2"/>
      <c r="H81" s="2"/>
      <c r="I81" s="2"/>
      <c r="J81" s="89"/>
    </row>
    <row r="82" spans="1:10" ht="15" hidden="1" customHeight="1" x14ac:dyDescent="0.25">
      <c r="A82" s="88">
        <v>1</v>
      </c>
      <c r="B82" s="88"/>
      <c r="C82" s="88"/>
      <c r="D82" s="92">
        <f t="shared" ref="D82:I92" si="0">$C170*D170</f>
        <v>65.25</v>
      </c>
      <c r="E82" s="92">
        <f t="shared" si="0"/>
        <v>655.4</v>
      </c>
      <c r="F82" s="92">
        <f t="shared" si="0"/>
        <v>384.25</v>
      </c>
      <c r="G82" s="92">
        <f t="shared" si="0"/>
        <v>11.6</v>
      </c>
      <c r="H82" s="92">
        <f t="shared" si="0"/>
        <v>20.3</v>
      </c>
      <c r="I82" s="92">
        <f t="shared" si="0"/>
        <v>1.45</v>
      </c>
      <c r="J82" s="89"/>
    </row>
    <row r="83" spans="1:10" ht="15" hidden="1" customHeight="1" x14ac:dyDescent="0.25">
      <c r="A83" s="88">
        <f>A82+1</f>
        <v>2</v>
      </c>
      <c r="B83" s="88"/>
      <c r="C83" s="88"/>
      <c r="D83" s="92">
        <f t="shared" si="0"/>
        <v>143.54999999999998</v>
      </c>
      <c r="E83" s="92">
        <f t="shared" si="0"/>
        <v>771.4</v>
      </c>
      <c r="F83" s="92">
        <f t="shared" si="0"/>
        <v>481.4</v>
      </c>
      <c r="G83" s="92">
        <f t="shared" si="0"/>
        <v>5.8</v>
      </c>
      <c r="H83" s="92">
        <f t="shared" si="0"/>
        <v>7.25</v>
      </c>
      <c r="I83" s="92">
        <f t="shared" si="0"/>
        <v>4.3499999999999996</v>
      </c>
      <c r="J83" s="89"/>
    </row>
    <row r="84" spans="1:10" ht="15" hidden="1" customHeight="1" x14ac:dyDescent="0.25">
      <c r="A84" s="88">
        <f t="shared" ref="A84:A92" si="1">A83+1</f>
        <v>3</v>
      </c>
      <c r="B84" s="88"/>
      <c r="C84" s="88"/>
      <c r="D84" s="92">
        <f t="shared" si="0"/>
        <v>32</v>
      </c>
      <c r="E84" s="92">
        <f t="shared" si="0"/>
        <v>192</v>
      </c>
      <c r="F84" s="92">
        <f t="shared" si="0"/>
        <v>742.4</v>
      </c>
      <c r="G84" s="92">
        <f t="shared" si="0"/>
        <v>1.28</v>
      </c>
      <c r="H84" s="92">
        <f t="shared" si="0"/>
        <v>1.92</v>
      </c>
      <c r="I84" s="92">
        <f t="shared" si="0"/>
        <v>0</v>
      </c>
      <c r="J84" s="89"/>
    </row>
    <row r="85" spans="1:10" ht="15" hidden="1" customHeight="1" x14ac:dyDescent="0.25">
      <c r="A85" s="88">
        <f t="shared" si="1"/>
        <v>4</v>
      </c>
      <c r="B85" s="88"/>
      <c r="C85" s="88"/>
      <c r="D85" s="92">
        <f t="shared" si="0"/>
        <v>8.64</v>
      </c>
      <c r="E85" s="92">
        <f t="shared" si="0"/>
        <v>61.6</v>
      </c>
      <c r="F85" s="92">
        <f t="shared" si="0"/>
        <v>25.44</v>
      </c>
      <c r="G85" s="92">
        <f t="shared" si="0"/>
        <v>0.64</v>
      </c>
      <c r="H85" s="92">
        <f t="shared" si="0"/>
        <v>0.8</v>
      </c>
      <c r="I85" s="92">
        <f t="shared" si="0"/>
        <v>0</v>
      </c>
      <c r="J85" s="89"/>
    </row>
    <row r="86" spans="1:10" ht="15" hidden="1" customHeight="1" x14ac:dyDescent="0.25">
      <c r="A86" s="88">
        <f t="shared" si="1"/>
        <v>5</v>
      </c>
      <c r="B86" s="88"/>
      <c r="C86" s="88"/>
      <c r="D86" s="92">
        <f t="shared" si="0"/>
        <v>100.62</v>
      </c>
      <c r="E86" s="92">
        <f t="shared" si="0"/>
        <v>429.57</v>
      </c>
      <c r="F86" s="92">
        <f t="shared" si="0"/>
        <v>170.28</v>
      </c>
      <c r="G86" s="92">
        <f t="shared" si="0"/>
        <v>2.58</v>
      </c>
      <c r="H86" s="92">
        <f t="shared" si="0"/>
        <v>12.9</v>
      </c>
      <c r="I86" s="92">
        <f t="shared" si="0"/>
        <v>6.45</v>
      </c>
      <c r="J86" s="89"/>
    </row>
    <row r="87" spans="1:10" ht="15" hidden="1" customHeight="1" x14ac:dyDescent="0.25">
      <c r="A87" s="88">
        <f t="shared" si="1"/>
        <v>6</v>
      </c>
      <c r="B87" s="88"/>
      <c r="C87" s="88"/>
      <c r="D87" s="92">
        <f t="shared" si="0"/>
        <v>34.56</v>
      </c>
      <c r="E87" s="92">
        <f t="shared" si="0"/>
        <v>161.28</v>
      </c>
      <c r="F87" s="92">
        <f t="shared" si="0"/>
        <v>87.04</v>
      </c>
      <c r="G87" s="92">
        <f t="shared" si="0"/>
        <v>3.2</v>
      </c>
      <c r="H87" s="92">
        <f t="shared" si="0"/>
        <v>5.12</v>
      </c>
      <c r="I87" s="92">
        <f t="shared" si="0"/>
        <v>0.64</v>
      </c>
      <c r="J87" s="89"/>
    </row>
    <row r="88" spans="1:10" ht="15" hidden="1" customHeight="1" x14ac:dyDescent="0.25">
      <c r="A88" s="88">
        <f t="shared" si="1"/>
        <v>7</v>
      </c>
      <c r="B88" s="88"/>
      <c r="C88" s="88"/>
      <c r="D88" s="92">
        <f t="shared" si="0"/>
        <v>90.399999999999991</v>
      </c>
      <c r="E88" s="92">
        <f t="shared" si="0"/>
        <v>636.18999999999994</v>
      </c>
      <c r="F88" s="92">
        <f t="shared" si="0"/>
        <v>515.28</v>
      </c>
      <c r="G88" s="92">
        <f t="shared" si="0"/>
        <v>7.9099999999999993</v>
      </c>
      <c r="H88" s="92">
        <f t="shared" si="0"/>
        <v>4.5199999999999996</v>
      </c>
      <c r="I88" s="92">
        <f t="shared" si="0"/>
        <v>6.7799999999999994</v>
      </c>
      <c r="J88" s="89"/>
    </row>
    <row r="89" spans="1:10" ht="15" hidden="1" customHeight="1" x14ac:dyDescent="0.25">
      <c r="A89" s="88">
        <f t="shared" si="1"/>
        <v>8</v>
      </c>
      <c r="B89" s="88"/>
      <c r="C89" s="88"/>
      <c r="D89" s="92">
        <f t="shared" si="0"/>
        <v>19.09</v>
      </c>
      <c r="E89" s="92">
        <f t="shared" si="0"/>
        <v>103.75</v>
      </c>
      <c r="F89" s="92">
        <f t="shared" si="0"/>
        <v>12.45</v>
      </c>
      <c r="G89" s="92">
        <f t="shared" si="0"/>
        <v>0.83</v>
      </c>
      <c r="H89" s="92">
        <f t="shared" si="0"/>
        <v>1.66</v>
      </c>
      <c r="I89" s="92">
        <f t="shared" si="0"/>
        <v>0.83</v>
      </c>
      <c r="J89" s="89"/>
    </row>
    <row r="90" spans="1:10" ht="15" hidden="1" customHeight="1" x14ac:dyDescent="0.25">
      <c r="A90" s="88">
        <f t="shared" si="1"/>
        <v>9</v>
      </c>
      <c r="B90" s="88"/>
      <c r="C90" s="88"/>
      <c r="D90" s="92">
        <f t="shared" si="0"/>
        <v>58.050000000000004</v>
      </c>
      <c r="E90" s="92">
        <f t="shared" si="0"/>
        <v>1002.33</v>
      </c>
      <c r="F90" s="92">
        <f t="shared" si="0"/>
        <v>42.57</v>
      </c>
      <c r="G90" s="92">
        <f t="shared" si="0"/>
        <v>10.32</v>
      </c>
      <c r="H90" s="92">
        <f t="shared" si="0"/>
        <v>3.87</v>
      </c>
      <c r="I90" s="92">
        <f t="shared" si="0"/>
        <v>1.29</v>
      </c>
      <c r="J90" s="89"/>
    </row>
    <row r="91" spans="1:10" ht="15" hidden="1" customHeight="1" x14ac:dyDescent="0.25">
      <c r="A91" s="88">
        <f t="shared" si="1"/>
        <v>10</v>
      </c>
      <c r="B91" s="88"/>
      <c r="C91" s="88"/>
      <c r="D91" s="92">
        <f t="shared" si="0"/>
        <v>40.669999999999995</v>
      </c>
      <c r="E91" s="92">
        <f t="shared" si="0"/>
        <v>375.99</v>
      </c>
      <c r="F91" s="92">
        <f t="shared" si="0"/>
        <v>114.53999999999999</v>
      </c>
      <c r="G91" s="92">
        <f t="shared" si="0"/>
        <v>5.81</v>
      </c>
      <c r="H91" s="92">
        <f t="shared" si="0"/>
        <v>5.81</v>
      </c>
      <c r="I91" s="92">
        <f t="shared" si="0"/>
        <v>0.83</v>
      </c>
      <c r="J91" s="89"/>
    </row>
    <row r="92" spans="1:10" ht="15" hidden="1" customHeight="1" x14ac:dyDescent="0.25">
      <c r="A92" s="88">
        <f t="shared" si="1"/>
        <v>11</v>
      </c>
      <c r="B92" s="88"/>
      <c r="C92" s="88"/>
      <c r="D92" s="92">
        <f t="shared" si="0"/>
        <v>75.19</v>
      </c>
      <c r="E92" s="92">
        <f t="shared" si="0"/>
        <v>465.56</v>
      </c>
      <c r="F92" s="92">
        <f t="shared" si="0"/>
        <v>236.9</v>
      </c>
      <c r="G92" s="92">
        <f t="shared" si="0"/>
        <v>7.21</v>
      </c>
      <c r="H92" s="92">
        <f t="shared" si="0"/>
        <v>4.12</v>
      </c>
      <c r="I92" s="92">
        <f t="shared" si="0"/>
        <v>1.03</v>
      </c>
      <c r="J92" s="89"/>
    </row>
    <row r="93" spans="1:10" ht="15" hidden="1" customHeight="1" x14ac:dyDescent="0.25">
      <c r="A93" s="216" t="s">
        <v>263</v>
      </c>
      <c r="B93" s="216"/>
      <c r="C93" s="88"/>
      <c r="D93" s="217"/>
      <c r="E93" s="217"/>
      <c r="F93" s="217"/>
      <c r="G93" s="217"/>
      <c r="H93" s="217"/>
      <c r="I93" s="217"/>
      <c r="J93" s="89"/>
    </row>
    <row r="94" spans="1:10" ht="15" hidden="1" customHeight="1" x14ac:dyDescent="0.25">
      <c r="A94" s="13"/>
      <c r="B94" s="13"/>
      <c r="C94" s="20" t="s">
        <v>3</v>
      </c>
      <c r="D94" s="20">
        <f t="shared" ref="D94:I94" si="2">SUM(D82:D93)</f>
        <v>668.02</v>
      </c>
      <c r="E94" s="20">
        <f t="shared" si="2"/>
        <v>4855.0700000000006</v>
      </c>
      <c r="F94" s="20">
        <f t="shared" si="2"/>
        <v>2812.55</v>
      </c>
      <c r="G94" s="20">
        <f t="shared" si="2"/>
        <v>57.18</v>
      </c>
      <c r="H94" s="20">
        <f t="shared" si="2"/>
        <v>68.27</v>
      </c>
      <c r="I94" s="20">
        <f t="shared" si="2"/>
        <v>23.65</v>
      </c>
      <c r="J94" s="89"/>
    </row>
    <row r="95" spans="1:10" ht="15" hidden="1" customHeight="1" x14ac:dyDescent="0.25">
      <c r="A95" s="13"/>
      <c r="B95" s="13"/>
      <c r="C95" s="20"/>
      <c r="D95" s="20"/>
      <c r="E95" s="20"/>
      <c r="F95" s="20"/>
      <c r="G95" s="20"/>
      <c r="H95" s="20"/>
      <c r="I95" s="20"/>
      <c r="J95" s="89"/>
    </row>
    <row r="96" spans="1:10" ht="15" hidden="1" customHeight="1" x14ac:dyDescent="0.25">
      <c r="J96" s="77"/>
    </row>
    <row r="97" spans="1:10" ht="15" hidden="1" customHeight="1" x14ac:dyDescent="0.25">
      <c r="A97" s="83">
        <v>2</v>
      </c>
      <c r="B97" s="83"/>
      <c r="C97" s="452" t="s">
        <v>180</v>
      </c>
      <c r="D97" s="452"/>
      <c r="E97" s="452"/>
      <c r="F97" s="452"/>
      <c r="H97" s="447" t="s">
        <v>172</v>
      </c>
      <c r="I97" s="447"/>
      <c r="J97" s="447"/>
    </row>
    <row r="98" spans="1:10" ht="15" hidden="1" customHeight="1" x14ac:dyDescent="0.25">
      <c r="A98" s="97"/>
      <c r="B98" s="97"/>
      <c r="C98" s="97"/>
      <c r="D98" s="72" t="s">
        <v>147</v>
      </c>
      <c r="E98" s="72" t="s">
        <v>148</v>
      </c>
      <c r="F98" s="72" t="s">
        <v>149</v>
      </c>
      <c r="G98" s="72" t="s">
        <v>150</v>
      </c>
      <c r="H98" s="72" t="s">
        <v>151</v>
      </c>
      <c r="I98" s="72" t="s">
        <v>152</v>
      </c>
      <c r="J98" s="183"/>
    </row>
    <row r="99" spans="1:10" ht="15" hidden="1" customHeight="1" x14ac:dyDescent="0.25">
      <c r="A99" t="s">
        <v>73</v>
      </c>
      <c r="C99" s="2" t="s">
        <v>165</v>
      </c>
      <c r="D99" s="75">
        <f>D94*$E42/100</f>
        <v>668.02</v>
      </c>
      <c r="E99" s="75">
        <f>E94*$E43/100</f>
        <v>4612.3165000000008</v>
      </c>
      <c r="F99" s="75">
        <f>F94*$E44/100</f>
        <v>2531.2950000000001</v>
      </c>
      <c r="G99" s="233"/>
      <c r="H99" s="75">
        <f>H94*$E46/100</f>
        <v>6.8269999999999991</v>
      </c>
      <c r="I99" s="233"/>
      <c r="J99" s="77"/>
    </row>
    <row r="100" spans="1:10" ht="15" hidden="1" customHeight="1" x14ac:dyDescent="0.25">
      <c r="C100" s="2" t="s">
        <v>69</v>
      </c>
      <c r="D100" s="233"/>
      <c r="E100" s="233"/>
      <c r="F100" s="75">
        <f>F94*$F44/100</f>
        <v>281.255</v>
      </c>
      <c r="G100" s="75">
        <f>G94*$F45/100</f>
        <v>57.18</v>
      </c>
      <c r="H100" s="75">
        <f>H94*$F46/100</f>
        <v>61.442999999999991</v>
      </c>
      <c r="I100" s="75">
        <f>I94*$F47/100</f>
        <v>21.285</v>
      </c>
      <c r="J100" s="77"/>
    </row>
    <row r="101" spans="1:10" ht="15" hidden="1" customHeight="1" x14ac:dyDescent="0.25">
      <c r="C101" s="2" t="s">
        <v>70</v>
      </c>
      <c r="D101" s="233"/>
      <c r="E101" s="75">
        <f>E94*$G43/100</f>
        <v>242.75350000000003</v>
      </c>
      <c r="F101" s="233"/>
      <c r="G101" s="233"/>
      <c r="H101" s="233"/>
      <c r="I101" s="75">
        <f>I94*$G47/100</f>
        <v>2.3650000000000002</v>
      </c>
      <c r="J101" s="77"/>
    </row>
    <row r="102" spans="1:10" ht="15" hidden="1" customHeight="1" x14ac:dyDescent="0.25">
      <c r="C102" s="16" t="s">
        <v>177</v>
      </c>
      <c r="D102" s="234">
        <f t="shared" ref="D102:I102" si="3">SUM(D99:D101)</f>
        <v>668.02</v>
      </c>
      <c r="E102" s="234">
        <f t="shared" si="3"/>
        <v>4855.0700000000006</v>
      </c>
      <c r="F102" s="234">
        <f t="shared" si="3"/>
        <v>2812.55</v>
      </c>
      <c r="G102" s="234">
        <f t="shared" si="3"/>
        <v>57.18</v>
      </c>
      <c r="H102" s="234">
        <f t="shared" si="3"/>
        <v>68.27</v>
      </c>
      <c r="I102" s="234">
        <f t="shared" si="3"/>
        <v>23.65</v>
      </c>
      <c r="J102" s="77"/>
    </row>
    <row r="103" spans="1:10" ht="15" hidden="1" customHeight="1" x14ac:dyDescent="0.25">
      <c r="J103" s="77"/>
    </row>
    <row r="104" spans="1:10" ht="48.75" hidden="1" customHeight="1" x14ac:dyDescent="0.25">
      <c r="A104" s="83">
        <v>3</v>
      </c>
      <c r="B104" s="83"/>
      <c r="C104" s="446" t="s">
        <v>179</v>
      </c>
      <c r="D104" s="446"/>
      <c r="E104" s="446"/>
      <c r="F104" s="446"/>
      <c r="H104" s="447" t="s">
        <v>172</v>
      </c>
      <c r="I104" s="447"/>
      <c r="J104" s="447"/>
    </row>
    <row r="105" spans="1:10" ht="15" hidden="1" customHeight="1" x14ac:dyDescent="0.25">
      <c r="A105" s="97"/>
      <c r="B105" s="97"/>
      <c r="C105" s="184"/>
      <c r="D105" s="72" t="s">
        <v>147</v>
      </c>
      <c r="E105" s="72" t="s">
        <v>148</v>
      </c>
      <c r="F105" s="72" t="s">
        <v>149</v>
      </c>
      <c r="G105" s="72" t="s">
        <v>150</v>
      </c>
      <c r="H105" s="72" t="s">
        <v>151</v>
      </c>
      <c r="I105" s="72" t="s">
        <v>152</v>
      </c>
      <c r="J105" s="183"/>
    </row>
    <row r="106" spans="1:10" ht="30.75" hidden="1" customHeight="1" x14ac:dyDescent="0.25">
      <c r="A106" s="97"/>
      <c r="B106" s="97"/>
      <c r="C106" s="184"/>
      <c r="D106" s="201"/>
      <c r="E106" s="202" t="s">
        <v>206</v>
      </c>
      <c r="F106" s="72"/>
      <c r="G106" s="200"/>
      <c r="H106" s="72"/>
      <c r="I106" s="200"/>
      <c r="J106" s="183"/>
    </row>
    <row r="107" spans="1:10" ht="15" hidden="1" customHeight="1" x14ac:dyDescent="0.25">
      <c r="A107" s="97"/>
      <c r="B107" s="97"/>
      <c r="C107" s="184"/>
      <c r="D107" s="201"/>
      <c r="E107" s="232">
        <f>E99*$E52/100</f>
        <v>230.61582500000003</v>
      </c>
      <c r="F107" s="72"/>
      <c r="G107" s="200"/>
      <c r="H107" s="72"/>
      <c r="I107" s="200"/>
      <c r="J107" s="183"/>
    </row>
    <row r="108" spans="1:10" ht="46.5" hidden="1" customHeight="1" x14ac:dyDescent="0.25">
      <c r="A108" s="97"/>
      <c r="B108" s="97"/>
      <c r="C108" s="184"/>
      <c r="D108" s="201"/>
      <c r="E108" s="202" t="s">
        <v>223</v>
      </c>
      <c r="F108" s="72"/>
      <c r="G108" s="200"/>
      <c r="H108" s="72"/>
      <c r="I108" s="200"/>
      <c r="J108" s="183"/>
    </row>
    <row r="109" spans="1:10" ht="15" hidden="1" customHeight="1" x14ac:dyDescent="0.25">
      <c r="A109" s="97"/>
      <c r="B109" s="97"/>
      <c r="C109" s="184"/>
      <c r="D109" s="201"/>
      <c r="E109" s="232">
        <f>E99*$G52/100</f>
        <v>230.61582500000003</v>
      </c>
      <c r="F109" s="72"/>
      <c r="G109" s="200"/>
      <c r="H109" s="72"/>
      <c r="I109" s="200"/>
      <c r="J109" s="183"/>
    </row>
    <row r="110" spans="1:10" ht="36.75" hidden="1" customHeight="1" x14ac:dyDescent="0.25">
      <c r="A110" s="97"/>
      <c r="B110" s="97"/>
      <c r="C110" s="184"/>
      <c r="D110" s="202" t="s">
        <v>227</v>
      </c>
      <c r="E110" s="202" t="s">
        <v>224</v>
      </c>
      <c r="F110" s="72"/>
      <c r="G110" s="200"/>
      <c r="H110" s="72"/>
      <c r="I110" s="200"/>
      <c r="J110" s="183"/>
    </row>
    <row r="111" spans="1:10" ht="21" hidden="1" customHeight="1" x14ac:dyDescent="0.25">
      <c r="A111" s="97"/>
      <c r="B111" s="97"/>
      <c r="C111" s="184"/>
      <c r="D111" s="231">
        <f>D99*$K51/100</f>
        <v>33.400999999999996</v>
      </c>
      <c r="E111" s="232">
        <f>E99*$H52/100</f>
        <v>461.23165000000006</v>
      </c>
      <c r="F111" s="72"/>
      <c r="G111" s="200"/>
      <c r="H111" s="72"/>
      <c r="I111" s="200"/>
      <c r="J111" s="183"/>
    </row>
    <row r="112" spans="1:10" ht="51" hidden="1" customHeight="1" x14ac:dyDescent="0.25">
      <c r="A112" t="s">
        <v>178</v>
      </c>
      <c r="C112" t="s">
        <v>166</v>
      </c>
      <c r="D112" s="84" t="s">
        <v>167</v>
      </c>
      <c r="E112" s="85" t="s">
        <v>169</v>
      </c>
      <c r="F112" s="86" t="s">
        <v>171</v>
      </c>
      <c r="G112" s="94"/>
      <c r="H112" s="86" t="s">
        <v>171</v>
      </c>
      <c r="I112" s="94"/>
      <c r="J112" s="77"/>
    </row>
    <row r="113" spans="1:10" ht="15" hidden="1" customHeight="1" x14ac:dyDescent="0.25">
      <c r="D113" s="225">
        <f>D99*$L51/100</f>
        <v>133.60399999999998</v>
      </c>
      <c r="E113" s="228">
        <f>E99*$I52/100</f>
        <v>1383.6949500000003</v>
      </c>
      <c r="F113" s="229">
        <f>F99*F53/100</f>
        <v>2531.2950000000001</v>
      </c>
      <c r="G113" s="230"/>
      <c r="H113" s="229">
        <f>H99*F55/100</f>
        <v>6.8269999999999991</v>
      </c>
      <c r="I113" s="94"/>
      <c r="J113" s="77"/>
    </row>
    <row r="114" spans="1:10" ht="51" hidden="1" customHeight="1" x14ac:dyDescent="0.25">
      <c r="D114" s="84" t="s">
        <v>168</v>
      </c>
      <c r="E114" s="85" t="s">
        <v>170</v>
      </c>
      <c r="F114" s="94"/>
      <c r="G114" s="94"/>
      <c r="H114" s="94"/>
      <c r="I114" s="94"/>
      <c r="J114" s="77"/>
    </row>
    <row r="115" spans="1:10" ht="15" hidden="1" customHeight="1" x14ac:dyDescent="0.25">
      <c r="D115" s="225">
        <f>D99*$M51/100</f>
        <v>501.01499999999999</v>
      </c>
      <c r="E115" s="226">
        <f>E99*$J52/100</f>
        <v>2306.1582500000004</v>
      </c>
      <c r="F115" s="94"/>
      <c r="G115" s="94"/>
      <c r="H115" s="94"/>
      <c r="I115" s="94"/>
      <c r="J115" s="77"/>
    </row>
    <row r="116" spans="1:10" s="1" customFormat="1" ht="15" hidden="1" customHeight="1" x14ac:dyDescent="0.25">
      <c r="A116" s="219" t="s">
        <v>264</v>
      </c>
      <c r="B116" s="219"/>
      <c r="C116" s="219"/>
      <c r="D116" s="227">
        <f t="shared" ref="D116:I116" si="4">D107+D109+D111+D113+D115</f>
        <v>668.02</v>
      </c>
      <c r="E116" s="227">
        <f t="shared" si="4"/>
        <v>4612.3165000000008</v>
      </c>
      <c r="F116" s="227">
        <f t="shared" si="4"/>
        <v>2531.2950000000001</v>
      </c>
      <c r="G116" s="227">
        <f t="shared" si="4"/>
        <v>0</v>
      </c>
      <c r="H116" s="227">
        <f t="shared" si="4"/>
        <v>6.8269999999999991</v>
      </c>
      <c r="I116" s="227">
        <f t="shared" si="4"/>
        <v>0</v>
      </c>
      <c r="J116" s="218"/>
    </row>
    <row r="117" spans="1:10" ht="26.25" hidden="1" customHeight="1" x14ac:dyDescent="0.25">
      <c r="C117" t="s">
        <v>69</v>
      </c>
      <c r="D117" s="94"/>
      <c r="E117" s="94"/>
      <c r="F117" s="87" t="s">
        <v>171</v>
      </c>
      <c r="G117" s="87" t="s">
        <v>171</v>
      </c>
      <c r="H117" s="87" t="s">
        <v>171</v>
      </c>
      <c r="I117" s="87" t="s">
        <v>171</v>
      </c>
      <c r="J117" s="77"/>
    </row>
    <row r="118" spans="1:10" ht="15" hidden="1" customHeight="1" x14ac:dyDescent="0.25">
      <c r="D118" s="94"/>
      <c r="E118" s="94"/>
      <c r="F118" s="223">
        <f>F100*$E61/100</f>
        <v>281.255</v>
      </c>
      <c r="G118" s="223">
        <f>G100*$E62/100</f>
        <v>57.18</v>
      </c>
      <c r="H118" s="223">
        <f>H100*$E63/100</f>
        <v>61.442999999999991</v>
      </c>
      <c r="I118" s="223">
        <f>I100*$E64/100</f>
        <v>21.285</v>
      </c>
      <c r="J118" s="77"/>
    </row>
    <row r="119" spans="1:10" ht="15" hidden="1" customHeight="1" x14ac:dyDescent="0.25">
      <c r="A119" s="219" t="s">
        <v>265</v>
      </c>
      <c r="B119" s="219"/>
      <c r="C119" s="219"/>
      <c r="D119" s="220"/>
      <c r="E119" s="220"/>
      <c r="F119" s="222">
        <f>F118</f>
        <v>281.255</v>
      </c>
      <c r="G119" s="222">
        <f>G118</f>
        <v>57.18</v>
      </c>
      <c r="H119" s="222">
        <f>H118</f>
        <v>61.442999999999991</v>
      </c>
      <c r="I119" s="222">
        <f>I118</f>
        <v>21.285</v>
      </c>
      <c r="J119" s="77"/>
    </row>
    <row r="120" spans="1:10" ht="26.25" hidden="1" customHeight="1" x14ac:dyDescent="0.25">
      <c r="C120" t="s">
        <v>70</v>
      </c>
      <c r="D120" s="112"/>
      <c r="E120" s="87" t="s">
        <v>206</v>
      </c>
      <c r="F120" s="112"/>
      <c r="G120" s="112"/>
      <c r="H120" s="112"/>
      <c r="I120" s="112"/>
      <c r="J120" s="77"/>
    </row>
    <row r="121" spans="1:10" ht="15" hidden="1" customHeight="1" x14ac:dyDescent="0.25">
      <c r="D121" s="112"/>
      <c r="E121" s="223">
        <f>E101*$E69/100</f>
        <v>121.37675000000002</v>
      </c>
      <c r="F121" s="112"/>
      <c r="G121" s="112"/>
      <c r="H121" s="112"/>
      <c r="I121" s="112"/>
      <c r="J121" s="77"/>
    </row>
    <row r="122" spans="1:10" ht="26.25" hidden="1" customHeight="1" x14ac:dyDescent="0.25">
      <c r="D122" s="112"/>
      <c r="E122" s="87" t="s">
        <v>207</v>
      </c>
      <c r="F122" s="112"/>
      <c r="G122" s="112"/>
      <c r="H122" s="112"/>
      <c r="I122" s="112"/>
      <c r="J122" s="77"/>
    </row>
    <row r="123" spans="1:10" ht="15" hidden="1" customHeight="1" x14ac:dyDescent="0.25">
      <c r="D123" s="112"/>
      <c r="E123" s="224">
        <f>E101*$F69/100</f>
        <v>121.37675000000002</v>
      </c>
      <c r="F123" s="112"/>
      <c r="G123" s="112"/>
      <c r="H123" s="112"/>
      <c r="I123" s="112"/>
      <c r="J123" s="77"/>
    </row>
    <row r="124" spans="1:10" ht="51.75" hidden="1" customHeight="1" x14ac:dyDescent="0.25">
      <c r="D124" s="112"/>
      <c r="E124" s="209"/>
      <c r="F124" s="112"/>
      <c r="G124" s="112"/>
      <c r="H124" s="112"/>
      <c r="I124" s="87" t="s">
        <v>235</v>
      </c>
      <c r="J124" s="77"/>
    </row>
    <row r="125" spans="1:10" ht="15" hidden="1" customHeight="1" x14ac:dyDescent="0.25">
      <c r="D125" s="112"/>
      <c r="E125" s="209"/>
      <c r="F125" s="112"/>
      <c r="G125" s="112"/>
      <c r="H125" s="112"/>
      <c r="I125" s="223">
        <f>I101*$G73/100</f>
        <v>1.1825000000000001</v>
      </c>
      <c r="J125" s="77"/>
    </row>
    <row r="126" spans="1:10" ht="51.75" hidden="1" customHeight="1" x14ac:dyDescent="0.25">
      <c r="D126" s="112"/>
      <c r="E126" s="209"/>
      <c r="F126" s="112"/>
      <c r="G126" s="112"/>
      <c r="H126" s="112"/>
      <c r="I126" s="87" t="s">
        <v>236</v>
      </c>
      <c r="J126" s="77"/>
    </row>
    <row r="127" spans="1:10" ht="15" hidden="1" customHeight="1" x14ac:dyDescent="0.25">
      <c r="D127" s="112"/>
      <c r="E127" s="209"/>
      <c r="F127" s="112"/>
      <c r="G127" s="112"/>
      <c r="H127" s="112"/>
      <c r="I127" s="223">
        <f>I101*$H73/100</f>
        <v>0.94600000000000006</v>
      </c>
      <c r="J127" s="77"/>
    </row>
    <row r="128" spans="1:10" ht="51.75" hidden="1" customHeight="1" x14ac:dyDescent="0.25">
      <c r="D128" s="112"/>
      <c r="E128" s="209"/>
      <c r="F128" s="112"/>
      <c r="G128" s="112"/>
      <c r="H128" s="112"/>
      <c r="I128" s="87" t="s">
        <v>237</v>
      </c>
      <c r="J128" s="77"/>
    </row>
    <row r="129" spans="1:10" ht="15" hidden="1" customHeight="1" x14ac:dyDescent="0.25">
      <c r="D129" s="112"/>
      <c r="E129" s="209"/>
      <c r="F129" s="112"/>
      <c r="G129" s="112"/>
      <c r="H129" s="112"/>
      <c r="I129" s="223">
        <f>I101*$I73/100</f>
        <v>0</v>
      </c>
      <c r="J129" s="77"/>
    </row>
    <row r="130" spans="1:10" ht="51.75" hidden="1" customHeight="1" x14ac:dyDescent="0.25">
      <c r="D130" s="112"/>
      <c r="E130" s="209"/>
      <c r="F130" s="112"/>
      <c r="G130" s="112"/>
      <c r="H130" s="112"/>
      <c r="I130" s="87" t="s">
        <v>238</v>
      </c>
      <c r="J130" s="77"/>
    </row>
    <row r="131" spans="1:10" ht="15" hidden="1" customHeight="1" x14ac:dyDescent="0.25">
      <c r="D131" s="112"/>
      <c r="E131" s="209"/>
      <c r="F131" s="112"/>
      <c r="G131" s="112"/>
      <c r="H131" s="112"/>
      <c r="I131" s="223">
        <f>I101*$J73/100</f>
        <v>0.23650000000000002</v>
      </c>
      <c r="J131" s="77"/>
    </row>
    <row r="132" spans="1:10" s="1" customFormat="1" ht="15" hidden="1" customHeight="1" x14ac:dyDescent="0.25">
      <c r="A132" s="219" t="s">
        <v>266</v>
      </c>
      <c r="B132" s="219"/>
      <c r="C132" s="219"/>
      <c r="D132" s="222"/>
      <c r="E132" s="221">
        <f>E121+E123</f>
        <v>242.75350000000003</v>
      </c>
      <c r="F132" s="222">
        <f>F131</f>
        <v>0</v>
      </c>
      <c r="G132" s="222">
        <f>G131</f>
        <v>0</v>
      </c>
      <c r="H132" s="222">
        <f>H131</f>
        <v>0</v>
      </c>
      <c r="I132" s="222">
        <f>I125+I127+I129+I131</f>
        <v>2.3650000000000002</v>
      </c>
      <c r="J132" s="218"/>
    </row>
    <row r="133" spans="1:10" ht="34.5" hidden="1" customHeight="1" x14ac:dyDescent="0.25">
      <c r="A133" s="83">
        <v>4</v>
      </c>
      <c r="B133" s="83"/>
      <c r="C133" s="446" t="s">
        <v>181</v>
      </c>
      <c r="D133" s="446"/>
      <c r="E133" s="446"/>
      <c r="F133" s="446"/>
      <c r="J133" s="77"/>
    </row>
    <row r="134" spans="1:10" ht="15" hidden="1" customHeight="1" x14ac:dyDescent="0.25">
      <c r="A134" s="83"/>
      <c r="B134" s="83"/>
      <c r="C134" s="184"/>
      <c r="D134" s="72" t="s">
        <v>147</v>
      </c>
      <c r="E134" s="72" t="s">
        <v>148</v>
      </c>
      <c r="F134" s="72" t="s">
        <v>149</v>
      </c>
      <c r="G134" s="72" t="s">
        <v>150</v>
      </c>
      <c r="H134" s="72" t="s">
        <v>151</v>
      </c>
      <c r="I134" s="72" t="s">
        <v>152</v>
      </c>
      <c r="J134" s="77"/>
    </row>
    <row r="135" spans="1:10" ht="25.5" hidden="1" customHeight="1" x14ac:dyDescent="0.25">
      <c r="A135" s="97"/>
      <c r="B135" s="97"/>
      <c r="C135" s="184"/>
      <c r="D135" s="201"/>
      <c r="E135" s="202" t="s">
        <v>206</v>
      </c>
      <c r="F135" s="201"/>
      <c r="G135" s="203"/>
      <c r="H135" s="201"/>
      <c r="I135" s="203"/>
      <c r="J135" s="77"/>
    </row>
    <row r="136" spans="1:10" ht="15" hidden="1" customHeight="1" x14ac:dyDescent="0.25">
      <c r="A136" s="97"/>
      <c r="B136" s="97"/>
      <c r="C136" s="184"/>
      <c r="D136" s="201"/>
      <c r="E136" s="232">
        <f>E107*$F$21</f>
        <v>62958.120225000006</v>
      </c>
      <c r="F136" s="201"/>
      <c r="G136" s="203"/>
      <c r="H136" s="201"/>
      <c r="I136" s="203"/>
      <c r="J136" s="77"/>
    </row>
    <row r="137" spans="1:10" ht="38.25" hidden="1" customHeight="1" x14ac:dyDescent="0.25">
      <c r="A137" s="97"/>
      <c r="B137" s="97"/>
      <c r="C137" s="184"/>
      <c r="D137" s="201"/>
      <c r="E137" s="202" t="s">
        <v>223</v>
      </c>
      <c r="F137" s="201"/>
      <c r="G137" s="203"/>
      <c r="H137" s="201"/>
      <c r="I137" s="203"/>
      <c r="J137" s="77"/>
    </row>
    <row r="138" spans="1:10" ht="15" hidden="1" customHeight="1" x14ac:dyDescent="0.25">
      <c r="A138" s="97"/>
      <c r="B138" s="97"/>
      <c r="C138" s="184"/>
      <c r="D138" s="201"/>
      <c r="E138" s="232">
        <f>E109*$F$22</f>
        <v>52580.408100000008</v>
      </c>
      <c r="F138" s="201"/>
      <c r="G138" s="203"/>
      <c r="H138" s="201"/>
      <c r="I138" s="203"/>
      <c r="J138" s="77"/>
    </row>
    <row r="139" spans="1:10" ht="38.25" hidden="1" customHeight="1" x14ac:dyDescent="0.25">
      <c r="A139" s="97"/>
      <c r="B139" s="97"/>
      <c r="C139" s="184"/>
      <c r="D139" s="202" t="s">
        <v>227</v>
      </c>
      <c r="E139" s="202" t="s">
        <v>224</v>
      </c>
      <c r="F139" s="201"/>
      <c r="G139" s="203"/>
      <c r="H139" s="201"/>
      <c r="I139" s="203"/>
      <c r="J139" s="77"/>
    </row>
    <row r="140" spans="1:10" ht="15" hidden="1" customHeight="1" x14ac:dyDescent="0.25">
      <c r="A140" s="97"/>
      <c r="B140" s="97"/>
      <c r="C140" s="184"/>
      <c r="D140" s="232">
        <f>D111*$F$18</f>
        <v>1984.0193999999997</v>
      </c>
      <c r="E140" s="232">
        <f>E111*$F$23</f>
        <v>93630.024950000006</v>
      </c>
      <c r="F140" s="201"/>
      <c r="G140" s="203"/>
      <c r="H140" s="201"/>
      <c r="I140" s="203"/>
      <c r="J140" s="77"/>
    </row>
    <row r="141" spans="1:10" ht="51" hidden="1" customHeight="1" x14ac:dyDescent="0.25">
      <c r="A141" t="s">
        <v>178</v>
      </c>
      <c r="C141" t="s">
        <v>166</v>
      </c>
      <c r="D141" s="84" t="s">
        <v>167</v>
      </c>
      <c r="E141" s="85" t="s">
        <v>169</v>
      </c>
      <c r="F141" s="86" t="s">
        <v>171</v>
      </c>
      <c r="G141" s="94"/>
      <c r="H141" s="86" t="s">
        <v>171</v>
      </c>
      <c r="I141" s="94"/>
      <c r="J141" s="77"/>
    </row>
    <row r="142" spans="1:10" ht="15" hidden="1" customHeight="1" x14ac:dyDescent="0.25">
      <c r="D142" s="225">
        <f>D113*$F$19</f>
        <v>13200.075199999997</v>
      </c>
      <c r="E142" s="240">
        <f>E113*$F$24</f>
        <v>267053.12535000005</v>
      </c>
      <c r="F142" s="241">
        <f>F113*$F$28</f>
        <v>832796.05500000005</v>
      </c>
      <c r="G142" s="94"/>
      <c r="H142" s="229">
        <f>H113*$F$31</f>
        <v>2246.0829999999996</v>
      </c>
      <c r="I142" s="94"/>
      <c r="J142" s="77"/>
    </row>
    <row r="143" spans="1:10" ht="51" hidden="1" customHeight="1" x14ac:dyDescent="0.25">
      <c r="D143" s="84" t="s">
        <v>168</v>
      </c>
      <c r="E143" s="85" t="s">
        <v>170</v>
      </c>
      <c r="F143" s="94"/>
      <c r="G143" s="94"/>
      <c r="H143" s="94"/>
      <c r="I143" s="94"/>
      <c r="J143" s="77"/>
    </row>
    <row r="144" spans="1:10" ht="15" hidden="1" customHeight="1" x14ac:dyDescent="0.25">
      <c r="D144" s="235">
        <f>D115*$F$20</f>
        <v>62626.875</v>
      </c>
      <c r="E144" s="242">
        <f>E115*$F$25</f>
        <v>509660.9732500001</v>
      </c>
      <c r="F144" s="94"/>
      <c r="G144" s="94"/>
      <c r="H144" s="94"/>
      <c r="I144" s="94"/>
      <c r="J144" s="77"/>
    </row>
    <row r="145" spans="3:10" ht="39.75" hidden="1" customHeight="1" thickBot="1" x14ac:dyDescent="0.3">
      <c r="C145" s="122" t="s">
        <v>197</v>
      </c>
      <c r="D145" s="236">
        <f>D140+D142+D144</f>
        <v>77810.969599999997</v>
      </c>
      <c r="E145" s="237">
        <f>E136+E138+E140+E142+E144</f>
        <v>985882.65187500021</v>
      </c>
      <c r="F145" s="238">
        <f>F142</f>
        <v>832796.05500000005</v>
      </c>
      <c r="G145" s="238"/>
      <c r="H145" s="238">
        <f>H142</f>
        <v>2246.0829999999996</v>
      </c>
      <c r="I145" s="239"/>
      <c r="J145" s="77"/>
    </row>
    <row r="146" spans="3:10" ht="26.25" hidden="1" customHeight="1" x14ac:dyDescent="0.25">
      <c r="C146" t="s">
        <v>69</v>
      </c>
      <c r="D146" s="94"/>
      <c r="E146" s="94"/>
      <c r="F146" s="117" t="s">
        <v>171</v>
      </c>
      <c r="G146" s="117" t="s">
        <v>171</v>
      </c>
      <c r="H146" s="117" t="s">
        <v>171</v>
      </c>
      <c r="I146" s="117" t="s">
        <v>171</v>
      </c>
      <c r="J146" s="77"/>
    </row>
    <row r="147" spans="3:10" ht="15" hidden="1" customHeight="1" x14ac:dyDescent="0.25">
      <c r="D147" s="94"/>
      <c r="E147" s="94"/>
      <c r="F147" s="118">
        <f>F118*$F$29</f>
        <v>80438.929999999993</v>
      </c>
      <c r="G147" s="118">
        <f>G118*$F$30</f>
        <v>44657.58</v>
      </c>
      <c r="H147" s="118">
        <f>H118*$F$32</f>
        <v>17572.697999999997</v>
      </c>
      <c r="I147" s="118">
        <f>I118*$F$33</f>
        <v>16623.584999999999</v>
      </c>
      <c r="J147" s="77"/>
    </row>
    <row r="148" spans="3:10" ht="39.75" hidden="1" customHeight="1" thickBot="1" x14ac:dyDescent="0.3">
      <c r="C148" s="122" t="s">
        <v>198</v>
      </c>
      <c r="D148" s="205"/>
      <c r="E148" s="206"/>
      <c r="F148" s="128">
        <f>F147</f>
        <v>80438.929999999993</v>
      </c>
      <c r="G148" s="128">
        <f>G147</f>
        <v>44657.58</v>
      </c>
      <c r="H148" s="128">
        <f>H147</f>
        <v>17572.697999999997</v>
      </c>
      <c r="I148" s="129">
        <f>I147</f>
        <v>16623.584999999999</v>
      </c>
      <c r="J148" s="77"/>
    </row>
    <row r="149" spans="3:10" ht="26.25" hidden="1" customHeight="1" x14ac:dyDescent="0.25">
      <c r="C149" t="s">
        <v>70</v>
      </c>
      <c r="D149" s="112"/>
      <c r="E149" s="117" t="s">
        <v>206</v>
      </c>
      <c r="F149" s="112"/>
      <c r="G149" s="112"/>
      <c r="H149" s="112"/>
      <c r="I149" s="112"/>
      <c r="J149" s="77"/>
    </row>
    <row r="150" spans="3:10" ht="15" hidden="1" customHeight="1" x14ac:dyDescent="0.25">
      <c r="D150" s="112"/>
      <c r="E150" s="114">
        <f>E121*$F$26</f>
        <v>46001.788250000005</v>
      </c>
      <c r="F150" s="112"/>
      <c r="G150" s="112"/>
      <c r="H150" s="112"/>
      <c r="I150" s="112"/>
      <c r="J150" s="77"/>
    </row>
    <row r="151" spans="3:10" ht="26.25" hidden="1" customHeight="1" x14ac:dyDescent="0.25">
      <c r="D151" s="112"/>
      <c r="E151" s="87" t="s">
        <v>207</v>
      </c>
      <c r="F151" s="112"/>
      <c r="G151" s="112"/>
      <c r="H151" s="112"/>
      <c r="I151" s="112"/>
      <c r="J151" s="77"/>
    </row>
    <row r="152" spans="3:10" ht="15" hidden="1" customHeight="1" x14ac:dyDescent="0.25">
      <c r="D152" s="112"/>
      <c r="E152" s="121">
        <f>E123*$F$27</f>
        <v>17963.759000000002</v>
      </c>
      <c r="F152" s="112"/>
      <c r="G152" s="112"/>
      <c r="H152" s="112"/>
      <c r="I152" s="112"/>
      <c r="J152" s="77"/>
    </row>
    <row r="153" spans="3:10" ht="51.75" hidden="1" customHeight="1" x14ac:dyDescent="0.25">
      <c r="D153" s="112"/>
      <c r="E153" s="112"/>
      <c r="F153" s="112"/>
      <c r="G153" s="112"/>
      <c r="H153" s="112"/>
      <c r="I153" s="87" t="s">
        <v>235</v>
      </c>
      <c r="J153" s="77"/>
    </row>
    <row r="154" spans="3:10" ht="15" hidden="1" customHeight="1" x14ac:dyDescent="0.25">
      <c r="D154" s="112"/>
      <c r="E154" s="112"/>
      <c r="F154" s="112"/>
      <c r="G154" s="112"/>
      <c r="H154" s="112"/>
      <c r="I154" s="223">
        <f>I125*$F$34</f>
        <v>1312.575</v>
      </c>
      <c r="J154" s="77"/>
    </row>
    <row r="155" spans="3:10" ht="51.75" hidden="1" customHeight="1" x14ac:dyDescent="0.25">
      <c r="D155" s="112"/>
      <c r="E155" s="112"/>
      <c r="F155" s="112"/>
      <c r="G155" s="112"/>
      <c r="H155" s="112"/>
      <c r="I155" s="87" t="s">
        <v>236</v>
      </c>
      <c r="J155" s="77"/>
    </row>
    <row r="156" spans="3:10" ht="15" hidden="1" customHeight="1" x14ac:dyDescent="0.25">
      <c r="D156" s="112"/>
      <c r="E156" s="112"/>
      <c r="F156" s="112"/>
      <c r="G156" s="112"/>
      <c r="H156" s="112"/>
      <c r="I156" s="223">
        <f>I127*$F$35</f>
        <v>579.89800000000002</v>
      </c>
      <c r="J156" s="77"/>
    </row>
    <row r="157" spans="3:10" ht="51.75" hidden="1" customHeight="1" x14ac:dyDescent="0.25">
      <c r="D157" s="112"/>
      <c r="E157" s="112"/>
      <c r="F157" s="112"/>
      <c r="G157" s="112"/>
      <c r="H157" s="112"/>
      <c r="I157" s="87" t="s">
        <v>237</v>
      </c>
      <c r="J157" s="77"/>
    </row>
    <row r="158" spans="3:10" ht="15" hidden="1" customHeight="1" x14ac:dyDescent="0.25">
      <c r="D158" s="112"/>
      <c r="E158" s="112"/>
      <c r="F158" s="112"/>
      <c r="G158" s="112"/>
      <c r="H158" s="112"/>
      <c r="I158" s="223">
        <f>I129*$F$36</f>
        <v>0</v>
      </c>
      <c r="J158" s="77"/>
    </row>
    <row r="159" spans="3:10" ht="51.75" hidden="1" customHeight="1" x14ac:dyDescent="0.25">
      <c r="D159" s="112"/>
      <c r="E159" s="112"/>
      <c r="F159" s="112"/>
      <c r="G159" s="112"/>
      <c r="H159" s="112"/>
      <c r="I159" s="87" t="s">
        <v>238</v>
      </c>
      <c r="J159" s="77"/>
    </row>
    <row r="160" spans="3:10" ht="15" hidden="1" customHeight="1" x14ac:dyDescent="0.25">
      <c r="D160" s="112"/>
      <c r="E160" s="112"/>
      <c r="F160" s="112"/>
      <c r="G160" s="112"/>
      <c r="H160" s="112"/>
      <c r="I160" s="223">
        <f>I131*$F$37</f>
        <v>214.97850000000003</v>
      </c>
      <c r="J160" s="77"/>
    </row>
    <row r="161" spans="1:10" ht="39.75" hidden="1" customHeight="1" thickBot="1" x14ac:dyDescent="0.3">
      <c r="C161" s="122" t="s">
        <v>210</v>
      </c>
      <c r="D161" s="207"/>
      <c r="E161" s="208">
        <f>E150+E152</f>
        <v>63965.547250000003</v>
      </c>
      <c r="F161" s="208"/>
      <c r="G161" s="208"/>
      <c r="H161" s="208"/>
      <c r="I161" s="243">
        <f>I154+I156+I158+I160</f>
        <v>2107.4515000000001</v>
      </c>
      <c r="J161" s="77"/>
    </row>
    <row r="162" spans="1:10" ht="15.75" hidden="1" customHeight="1" thickBot="1" x14ac:dyDescent="0.3">
      <c r="A162" s="101"/>
      <c r="B162" s="101"/>
      <c r="C162" s="101"/>
      <c r="D162" s="101"/>
      <c r="E162" s="101"/>
      <c r="F162" s="101"/>
      <c r="G162" s="101"/>
      <c r="H162" s="101"/>
      <c r="I162" s="101"/>
      <c r="J162" s="105"/>
    </row>
    <row r="163" spans="1:10" s="43" customFormat="1" ht="15" hidden="1" customHeight="1" x14ac:dyDescent="0.25">
      <c r="A163" s="43" t="s">
        <v>127</v>
      </c>
      <c r="C163" s="43" t="s">
        <v>267</v>
      </c>
      <c r="J163" s="248"/>
    </row>
    <row r="164" spans="1:10" ht="15" customHeight="1" x14ac:dyDescent="0.25">
      <c r="J164" s="77"/>
    </row>
    <row r="165" spans="1:10" ht="15.75" thickBot="1" x14ac:dyDescent="0.3">
      <c r="F165" s="294" t="s">
        <v>28</v>
      </c>
    </row>
    <row r="166" spans="1:10" ht="15.75" hidden="1" thickBot="1" x14ac:dyDescent="0.3">
      <c r="A166" s="83">
        <v>0</v>
      </c>
      <c r="B166" s="83"/>
      <c r="C166" s="565" t="s">
        <v>174</v>
      </c>
      <c r="D166" s="565"/>
      <c r="E166" s="565"/>
      <c r="F166" s="565"/>
    </row>
    <row r="167" spans="1:10" ht="15.75" thickTop="1" x14ac:dyDescent="0.25">
      <c r="A167" s="1" t="s">
        <v>262</v>
      </c>
      <c r="B167" s="1"/>
      <c r="E167" s="292" t="s">
        <v>55</v>
      </c>
      <c r="F167" s="338">
        <v>2022</v>
      </c>
    </row>
    <row r="168" spans="1:10" ht="15.75" thickBot="1" x14ac:dyDescent="0.3">
      <c r="A168" s="152" t="s">
        <v>213</v>
      </c>
      <c r="B168" s="419"/>
      <c r="C168" s="73"/>
      <c r="D168" s="73"/>
      <c r="E168" s="73"/>
      <c r="F168" s="339">
        <v>365</v>
      </c>
    </row>
    <row r="169" spans="1:10" ht="16.5" thickTop="1" thickBot="1" x14ac:dyDescent="0.3">
      <c r="A169" s="144" t="s">
        <v>191</v>
      </c>
      <c r="B169" s="144" t="s">
        <v>287</v>
      </c>
      <c r="C169" s="286" t="s">
        <v>192</v>
      </c>
      <c r="D169" s="287" t="s">
        <v>147</v>
      </c>
      <c r="E169" s="287" t="s">
        <v>148</v>
      </c>
      <c r="F169" s="293" t="s">
        <v>149</v>
      </c>
      <c r="G169" s="287" t="s">
        <v>150</v>
      </c>
      <c r="H169" s="287" t="s">
        <v>151</v>
      </c>
      <c r="I169" s="287" t="s">
        <v>152</v>
      </c>
    </row>
    <row r="170" spans="1:10" s="297" customFormat="1" ht="15.75" thickTop="1" x14ac:dyDescent="0.25">
      <c r="A170" s="305">
        <v>1</v>
      </c>
      <c r="B170" s="299" t="s">
        <v>295</v>
      </c>
      <c r="C170" s="306">
        <v>1.45</v>
      </c>
      <c r="D170" s="307">
        <v>45</v>
      </c>
      <c r="E170" s="307">
        <v>452</v>
      </c>
      <c r="F170" s="307">
        <v>265</v>
      </c>
      <c r="G170" s="307">
        <v>8</v>
      </c>
      <c r="H170" s="307">
        <v>14</v>
      </c>
      <c r="I170" s="308">
        <v>1</v>
      </c>
    </row>
    <row r="171" spans="1:10" s="297" customFormat="1" x14ac:dyDescent="0.25">
      <c r="A171" s="305">
        <f>A170+1</f>
        <v>2</v>
      </c>
      <c r="B171" s="299" t="s">
        <v>296</v>
      </c>
      <c r="C171" s="309">
        <v>1.45</v>
      </c>
      <c r="D171" s="299">
        <v>99</v>
      </c>
      <c r="E171" s="299">
        <v>532</v>
      </c>
      <c r="F171" s="299">
        <v>332</v>
      </c>
      <c r="G171" s="299">
        <v>4</v>
      </c>
      <c r="H171" s="299">
        <v>5</v>
      </c>
      <c r="I171" s="310">
        <v>3</v>
      </c>
    </row>
    <row r="172" spans="1:10" s="297" customFormat="1" x14ac:dyDescent="0.25">
      <c r="A172" s="305">
        <f t="shared" ref="A172:A180" si="5">A171+1</f>
        <v>3</v>
      </c>
      <c r="B172" s="299" t="s">
        <v>297</v>
      </c>
      <c r="C172" s="309">
        <v>0.64</v>
      </c>
      <c r="D172" s="299">
        <v>50</v>
      </c>
      <c r="E172" s="299">
        <v>300</v>
      </c>
      <c r="F172" s="299">
        <v>1160</v>
      </c>
      <c r="G172" s="299">
        <v>2</v>
      </c>
      <c r="H172" s="299">
        <v>3</v>
      </c>
      <c r="I172" s="310">
        <v>0</v>
      </c>
    </row>
    <row r="173" spans="1:10" s="297" customFormat="1" x14ac:dyDescent="0.25">
      <c r="A173" s="305">
        <f t="shared" si="5"/>
        <v>4</v>
      </c>
      <c r="B173" s="299"/>
      <c r="C173" s="309">
        <v>0.16</v>
      </c>
      <c r="D173" s="299">
        <v>54</v>
      </c>
      <c r="E173" s="299">
        <v>385</v>
      </c>
      <c r="F173" s="299">
        <v>159</v>
      </c>
      <c r="G173" s="299">
        <v>4</v>
      </c>
      <c r="H173" s="299">
        <v>5</v>
      </c>
      <c r="I173" s="310">
        <v>0</v>
      </c>
    </row>
    <row r="174" spans="1:10" s="297" customFormat="1" x14ac:dyDescent="0.25">
      <c r="A174" s="305">
        <f>A173+1</f>
        <v>5</v>
      </c>
      <c r="B174" s="299"/>
      <c r="C174" s="309">
        <v>1.29</v>
      </c>
      <c r="D174" s="299">
        <v>78</v>
      </c>
      <c r="E174" s="299">
        <v>333</v>
      </c>
      <c r="F174" s="299">
        <v>132</v>
      </c>
      <c r="G174" s="299">
        <v>2</v>
      </c>
      <c r="H174" s="299">
        <v>10</v>
      </c>
      <c r="I174" s="310">
        <v>5</v>
      </c>
    </row>
    <row r="175" spans="1:10" s="297" customFormat="1" x14ac:dyDescent="0.25">
      <c r="A175" s="305">
        <f t="shared" si="5"/>
        <v>6</v>
      </c>
      <c r="B175" s="299"/>
      <c r="C175" s="309">
        <v>0.64</v>
      </c>
      <c r="D175" s="299">
        <v>54</v>
      </c>
      <c r="E175" s="299">
        <v>252</v>
      </c>
      <c r="F175" s="299">
        <v>136</v>
      </c>
      <c r="G175" s="299">
        <v>5</v>
      </c>
      <c r="H175" s="299">
        <v>8</v>
      </c>
      <c r="I175" s="310">
        <v>1</v>
      </c>
    </row>
    <row r="176" spans="1:10" s="297" customFormat="1" x14ac:dyDescent="0.25">
      <c r="A176" s="305">
        <f t="shared" si="5"/>
        <v>7</v>
      </c>
      <c r="B176" s="299"/>
      <c r="C176" s="309">
        <v>1.1299999999999999</v>
      </c>
      <c r="D176" s="299">
        <v>80</v>
      </c>
      <c r="E176" s="299">
        <v>563</v>
      </c>
      <c r="F176" s="299">
        <v>456</v>
      </c>
      <c r="G176" s="299">
        <v>7</v>
      </c>
      <c r="H176" s="299">
        <v>4</v>
      </c>
      <c r="I176" s="310">
        <v>6</v>
      </c>
    </row>
    <row r="177" spans="1:10" s="297" customFormat="1" x14ac:dyDescent="0.25">
      <c r="A177" s="305">
        <f>A176+1</f>
        <v>8</v>
      </c>
      <c r="B177" s="299"/>
      <c r="C177" s="309">
        <v>0.83</v>
      </c>
      <c r="D177" s="299">
        <v>23</v>
      </c>
      <c r="E177" s="299">
        <v>125</v>
      </c>
      <c r="F177" s="299">
        <v>15</v>
      </c>
      <c r="G177" s="299">
        <v>1</v>
      </c>
      <c r="H177" s="299">
        <v>2</v>
      </c>
      <c r="I177" s="310">
        <v>1</v>
      </c>
    </row>
    <row r="178" spans="1:10" s="297" customFormat="1" x14ac:dyDescent="0.25">
      <c r="A178" s="305">
        <f t="shared" si="5"/>
        <v>9</v>
      </c>
      <c r="B178" s="299"/>
      <c r="C178" s="309">
        <v>1.29</v>
      </c>
      <c r="D178" s="299">
        <v>45</v>
      </c>
      <c r="E178" s="299">
        <v>777</v>
      </c>
      <c r="F178" s="299">
        <v>33</v>
      </c>
      <c r="G178" s="299">
        <v>8</v>
      </c>
      <c r="H178" s="299">
        <v>3</v>
      </c>
      <c r="I178" s="310">
        <v>1</v>
      </c>
    </row>
    <row r="179" spans="1:10" s="297" customFormat="1" x14ac:dyDescent="0.25">
      <c r="A179" s="305">
        <f t="shared" si="5"/>
        <v>10</v>
      </c>
      <c r="B179" s="299"/>
      <c r="C179" s="309">
        <v>0.83</v>
      </c>
      <c r="D179" s="299">
        <v>49</v>
      </c>
      <c r="E179" s="299">
        <v>453</v>
      </c>
      <c r="F179" s="299">
        <v>138</v>
      </c>
      <c r="G179" s="299">
        <v>7</v>
      </c>
      <c r="H179" s="299">
        <v>7</v>
      </c>
      <c r="I179" s="310">
        <v>1</v>
      </c>
    </row>
    <row r="180" spans="1:10" s="297" customFormat="1" x14ac:dyDescent="0.25">
      <c r="A180" s="305">
        <f t="shared" si="5"/>
        <v>11</v>
      </c>
      <c r="B180" s="299"/>
      <c r="C180" s="309">
        <v>1.03</v>
      </c>
      <c r="D180" s="299">
        <v>73</v>
      </c>
      <c r="E180" s="299">
        <v>452</v>
      </c>
      <c r="F180" s="299">
        <v>230</v>
      </c>
      <c r="G180" s="299">
        <v>7</v>
      </c>
      <c r="H180" s="299">
        <v>4</v>
      </c>
      <c r="I180" s="310">
        <v>1</v>
      </c>
    </row>
    <row r="181" spans="1:10" s="297" customFormat="1" ht="15.75" thickBot="1" x14ac:dyDescent="0.3">
      <c r="A181" s="334" t="s">
        <v>243</v>
      </c>
      <c r="B181" s="420"/>
      <c r="C181" s="335"/>
      <c r="D181" s="336"/>
      <c r="E181" s="336"/>
      <c r="F181" s="336"/>
      <c r="G181" s="336"/>
      <c r="H181" s="336"/>
      <c r="I181" s="337"/>
    </row>
    <row r="182" spans="1:10" s="147" customFormat="1" ht="15" customHeight="1" thickTop="1" x14ac:dyDescent="0.25">
      <c r="C182" s="288"/>
      <c r="D182" s="289" t="s">
        <v>153</v>
      </c>
      <c r="E182" s="290"/>
      <c r="F182" s="290"/>
      <c r="G182" s="290"/>
      <c r="H182" s="290"/>
      <c r="I182" s="291"/>
      <c r="J182" s="199"/>
    </row>
    <row r="183" spans="1:10" x14ac:dyDescent="0.25">
      <c r="C183" s="213" t="s">
        <v>260</v>
      </c>
      <c r="D183" s="213" t="s">
        <v>212</v>
      </c>
      <c r="E183" s="213" t="s">
        <v>212</v>
      </c>
      <c r="F183" s="213" t="s">
        <v>212</v>
      </c>
      <c r="G183" s="213" t="s">
        <v>212</v>
      </c>
      <c r="H183" s="213" t="s">
        <v>212</v>
      </c>
      <c r="I183" s="213" t="s">
        <v>212</v>
      </c>
      <c r="J183" s="199"/>
    </row>
    <row r="184" spans="1:10" x14ac:dyDescent="0.25">
      <c r="C184" s="211"/>
      <c r="D184" s="72" t="s">
        <v>147</v>
      </c>
      <c r="E184" s="72" t="s">
        <v>148</v>
      </c>
      <c r="F184" s="72" t="s">
        <v>149</v>
      </c>
      <c r="G184" s="72" t="s">
        <v>150</v>
      </c>
      <c r="H184" s="72" t="s">
        <v>151</v>
      </c>
      <c r="I184" s="72" t="s">
        <v>152</v>
      </c>
      <c r="J184" s="199"/>
    </row>
    <row r="185" spans="1:10" x14ac:dyDescent="0.25">
      <c r="C185" s="134">
        <f t="shared" ref="C185:I185" si="6">SUM(C170:C181)</f>
        <v>10.739999999999998</v>
      </c>
      <c r="D185" s="134">
        <f>SUM(D170:D181)</f>
        <v>650</v>
      </c>
      <c r="E185" s="134">
        <f t="shared" si="6"/>
        <v>4624</v>
      </c>
      <c r="F185" s="134">
        <f t="shared" si="6"/>
        <v>3056</v>
      </c>
      <c r="G185" s="134">
        <f t="shared" si="6"/>
        <v>55</v>
      </c>
      <c r="H185" s="134">
        <f t="shared" si="6"/>
        <v>65</v>
      </c>
      <c r="I185" s="134">
        <f t="shared" si="6"/>
        <v>20</v>
      </c>
      <c r="J185" s="198"/>
    </row>
    <row r="186" spans="1:10" x14ac:dyDescent="0.25">
      <c r="A186" s="215" t="s">
        <v>261</v>
      </c>
      <c r="B186" s="215"/>
      <c r="C186" s="185"/>
      <c r="D186" s="185"/>
      <c r="E186" s="185"/>
      <c r="F186" s="185"/>
      <c r="G186" s="185"/>
      <c r="H186" s="185"/>
      <c r="I186" s="186"/>
      <c r="J186" s="198"/>
    </row>
    <row r="187" spans="1:10" x14ac:dyDescent="0.25">
      <c r="A187" s="185"/>
      <c r="B187" s="185"/>
      <c r="C187" s="185"/>
      <c r="D187" s="185"/>
      <c r="E187" s="185"/>
      <c r="F187" s="185"/>
      <c r="G187" s="185"/>
      <c r="H187" s="185"/>
      <c r="I187" s="186"/>
      <c r="J187" s="187"/>
    </row>
    <row r="188" spans="1:10" x14ac:dyDescent="0.25">
      <c r="A188" s="537" t="s">
        <v>214</v>
      </c>
      <c r="B188" s="537"/>
      <c r="C188" s="537"/>
      <c r="D188" s="537"/>
      <c r="E188" s="537"/>
      <c r="F188" s="537"/>
      <c r="G188" s="537"/>
      <c r="H188" s="57"/>
      <c r="I188" s="57"/>
      <c r="J188" s="57"/>
    </row>
    <row r="189" spans="1:10" ht="51.75" x14ac:dyDescent="0.25">
      <c r="A189" s="71" t="s">
        <v>55</v>
      </c>
      <c r="B189" s="72" t="s">
        <v>147</v>
      </c>
      <c r="C189" s="72" t="s">
        <v>148</v>
      </c>
      <c r="D189" s="72" t="s">
        <v>149</v>
      </c>
      <c r="E189" s="72" t="s">
        <v>150</v>
      </c>
      <c r="F189" s="72" t="s">
        <v>151</v>
      </c>
      <c r="G189" s="72" t="s">
        <v>152</v>
      </c>
      <c r="H189" s="70" t="s">
        <v>155</v>
      </c>
      <c r="I189" s="70" t="s">
        <v>154</v>
      </c>
    </row>
    <row r="190" spans="1:10" x14ac:dyDescent="0.25">
      <c r="A190" s="11">
        <f>F167</f>
        <v>2022</v>
      </c>
      <c r="B190" s="74">
        <f>($D145+$D148+$D161)/1000000</f>
        <v>7.7810969600000002E-2</v>
      </c>
      <c r="C190" s="74">
        <f>($E145+$E148+$E161)/1000000</f>
        <v>1.0498481991250004</v>
      </c>
      <c r="D190" s="74">
        <f>($F145+$F148+$F161)/1000000</f>
        <v>0.91323498500000011</v>
      </c>
      <c r="E190" s="74">
        <f>($G$145+$G$148+$G$161)/1000000</f>
        <v>4.4657580000000002E-2</v>
      </c>
      <c r="F190" s="74">
        <f>($H145+$H148+$H161)/1000000</f>
        <v>1.9818780999999997E-2</v>
      </c>
      <c r="G190" s="74">
        <f>($I145+$I148+$I161)/1000000</f>
        <v>1.8731036499999999E-2</v>
      </c>
      <c r="H190" s="74">
        <f>SUM(B190:G190)</f>
        <v>2.1241015512250008</v>
      </c>
      <c r="I190" s="103"/>
    </row>
    <row r="191" spans="1:10" x14ac:dyDescent="0.25">
      <c r="A191" s="252"/>
      <c r="B191" s="253">
        <f t="shared" ref="B191:G191" si="7">B190*$F168</f>
        <v>28.401003904</v>
      </c>
      <c r="C191" s="253">
        <f t="shared" si="7"/>
        <v>383.19459268062514</v>
      </c>
      <c r="D191" s="253">
        <f t="shared" si="7"/>
        <v>333.33076952500005</v>
      </c>
      <c r="E191" s="253">
        <f t="shared" si="7"/>
        <v>16.3000167</v>
      </c>
      <c r="F191" s="253">
        <f t="shared" si="7"/>
        <v>7.2338550649999993</v>
      </c>
      <c r="G191" s="253">
        <f t="shared" si="7"/>
        <v>6.8368283224999997</v>
      </c>
      <c r="H191" s="253"/>
      <c r="I191" s="254">
        <f>SUM(B191:G191)</f>
        <v>775.2970661971251</v>
      </c>
    </row>
    <row r="192" spans="1:10" x14ac:dyDescent="0.25">
      <c r="A192" s="99"/>
      <c r="B192" s="99"/>
      <c r="C192" s="99"/>
      <c r="D192" s="99"/>
      <c r="E192" s="99"/>
      <c r="F192" s="99"/>
      <c r="G192" s="99"/>
      <c r="H192" s="99"/>
      <c r="I192" s="99"/>
    </row>
    <row r="193" spans="1:10" x14ac:dyDescent="0.25">
      <c r="A193" s="99"/>
      <c r="B193" s="99"/>
      <c r="C193" s="99"/>
      <c r="D193" s="99"/>
      <c r="E193" s="99"/>
      <c r="F193" s="99"/>
      <c r="G193" s="99"/>
      <c r="H193" s="99"/>
      <c r="I193" s="99"/>
    </row>
    <row r="194" spans="1:10" s="297" customFormat="1" x14ac:dyDescent="0.25">
      <c r="J194"/>
    </row>
    <row r="196" spans="1:10" x14ac:dyDescent="0.25">
      <c r="J196" s="77"/>
    </row>
    <row r="197" spans="1:10" x14ac:dyDescent="0.25">
      <c r="J197" s="77"/>
    </row>
    <row r="198" spans="1:10" x14ac:dyDescent="0.25">
      <c r="J198" s="77"/>
    </row>
    <row r="288" spans="10:10" x14ac:dyDescent="0.25">
      <c r="J288" s="77"/>
    </row>
    <row r="310" ht="15" customHeight="1" x14ac:dyDescent="0.25"/>
  </sheetData>
  <sheetProtection algorithmName="SHA-512" hashValue="ggZVFSkfe0MTKP9RlGgFuBrC1jQb/YqKeYfr6+TxSkYLC7BumP4EYCvXN/C5Hlx4fl+D6RunMxBymJUHQSLwxQ==" saltValue="SinXEH7WfpyHSIoV/FOrag==" spinCount="100000" sheet="1" insertRows="0" selectLockedCells="1"/>
  <protectedRanges>
    <protectedRange sqref="E42 E43:G43 E44:F44 F45 E46:F46 E47:G47" name="Vehicle Fleet Characteristics_1"/>
  </protectedRanges>
  <mergeCells count="10">
    <mergeCell ref="A188:G188"/>
    <mergeCell ref="C9:E9"/>
    <mergeCell ref="C10:G10"/>
    <mergeCell ref="C166:F166"/>
    <mergeCell ref="A1:I1"/>
    <mergeCell ref="A3:B3"/>
    <mergeCell ref="A4:B4"/>
    <mergeCell ref="A5:B5"/>
    <mergeCell ref="A6:B6"/>
    <mergeCell ref="A7:B7"/>
  </mergeCells>
  <pageMargins left="0.43307086614173229" right="0.23622047244094491" top="0.87009803921568629" bottom="0.74803149606299213" header="0.31496062992125984" footer="0.31496062992125984"/>
  <pageSetup paperSize="9" orientation="portrait" r:id="rId1"/>
  <headerFooter>
    <oddHeader>&amp;LMALAYSIAN GREEN TECHNOLOGY AND CLIMATE CHANGE CORPORATION (MGTC)&amp;RMGTC/DC/REC/LCC-011
Version: 1/ JUNE 2022</oddHeader>
    <oddFooter>&amp;L
&amp;A&amp;R
Page &amp;P of &amp;N</oddFoot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2ADA6-637D-45CA-A027-EBD1C6365A90}">
  <sheetPr>
    <tabColor rgb="FFFF0000"/>
  </sheetPr>
  <dimension ref="A1:M227"/>
  <sheetViews>
    <sheetView view="pageLayout" topLeftCell="A89" zoomScale="85" zoomScaleNormal="100" zoomScalePageLayoutView="85" workbookViewId="0">
      <selection activeCell="J98" sqref="J98"/>
    </sheetView>
  </sheetViews>
  <sheetFormatPr defaultColWidth="9.140625" defaultRowHeight="15" x14ac:dyDescent="0.25"/>
  <cols>
    <col min="2" max="8" width="9.140625" customWidth="1"/>
    <col min="9" max="9" width="12.42578125" customWidth="1"/>
  </cols>
  <sheetData>
    <row r="1" spans="1:9" ht="16.5" thickBot="1" x14ac:dyDescent="0.3">
      <c r="A1" s="475" t="s">
        <v>136</v>
      </c>
      <c r="B1" s="476"/>
      <c r="C1" s="476"/>
      <c r="D1" s="476"/>
      <c r="E1" s="476"/>
      <c r="F1" s="476"/>
      <c r="G1" s="476"/>
      <c r="H1" s="476"/>
      <c r="I1" s="477"/>
    </row>
    <row r="3" spans="1:9" x14ac:dyDescent="0.25">
      <c r="A3" s="470" t="s">
        <v>27</v>
      </c>
      <c r="B3" s="470"/>
      <c r="C3" s="470"/>
      <c r="D3" s="474" t="str">
        <f>'Summary (Main)'!D11:H11</f>
        <v>LCC-Z-B090-XX-XXXX</v>
      </c>
      <c r="E3" s="474"/>
      <c r="F3" s="474"/>
      <c r="G3" s="474"/>
      <c r="H3" s="474"/>
      <c r="I3" s="474"/>
    </row>
    <row r="4" spans="1:9" x14ac:dyDescent="0.25">
      <c r="A4" s="470" t="s">
        <v>78</v>
      </c>
      <c r="B4" s="470"/>
      <c r="C4" s="470"/>
      <c r="D4" s="474" t="str">
        <f>'Summary (Main)'!D12:H12</f>
        <v>MAJLIS PERBANDARAN XXY</v>
      </c>
      <c r="E4" s="474"/>
      <c r="F4" s="474"/>
      <c r="G4" s="474"/>
      <c r="H4" s="474"/>
      <c r="I4" s="474"/>
    </row>
    <row r="5" spans="1:9" x14ac:dyDescent="0.25">
      <c r="A5" s="470" t="s">
        <v>0</v>
      </c>
      <c r="B5" s="470"/>
      <c r="C5" s="470"/>
      <c r="D5" s="474" t="str">
        <f>'Summary (Main)'!D13:H13</f>
        <v>MAJLIS PERBANDARAN XXY</v>
      </c>
      <c r="E5" s="474"/>
      <c r="F5" s="474"/>
      <c r="G5" s="474"/>
      <c r="H5" s="474"/>
      <c r="I5" s="474"/>
    </row>
    <row r="6" spans="1:9" x14ac:dyDescent="0.25">
      <c r="A6" s="470" t="s">
        <v>129</v>
      </c>
      <c r="B6" s="470"/>
      <c r="C6" s="470"/>
      <c r="D6" s="474">
        <f>'Summary (Main)'!D14:H14</f>
        <v>77432</v>
      </c>
      <c r="E6" s="474"/>
      <c r="F6" s="474"/>
      <c r="G6" s="474"/>
      <c r="H6" s="474"/>
      <c r="I6" s="474"/>
    </row>
    <row r="7" spans="1:9" x14ac:dyDescent="0.25">
      <c r="A7" s="470" t="s">
        <v>137</v>
      </c>
      <c r="B7" s="470"/>
      <c r="C7" s="470"/>
      <c r="D7" s="474">
        <f>'Summary (Main)'!D15:H15</f>
        <v>451.36</v>
      </c>
      <c r="E7" s="474"/>
      <c r="F7" s="474"/>
      <c r="G7" s="474"/>
      <c r="H7" s="474"/>
      <c r="I7" s="474"/>
    </row>
    <row r="8" spans="1:9" x14ac:dyDescent="0.25">
      <c r="A8" s="5"/>
      <c r="B8" s="5"/>
      <c r="C8" s="5"/>
    </row>
    <row r="9" spans="1:9" x14ac:dyDescent="0.25">
      <c r="A9" s="498" t="s">
        <v>7</v>
      </c>
      <c r="B9" s="498"/>
      <c r="C9" s="81" t="s">
        <v>240</v>
      </c>
      <c r="D9" s="79"/>
      <c r="E9" s="498" t="s">
        <v>12</v>
      </c>
      <c r="F9" s="498"/>
      <c r="G9" s="524" t="s">
        <v>60</v>
      </c>
      <c r="H9" s="524"/>
      <c r="I9" s="524"/>
    </row>
    <row r="10" spans="1:9" x14ac:dyDescent="0.25">
      <c r="A10" s="498" t="s">
        <v>6</v>
      </c>
      <c r="B10" s="498"/>
      <c r="C10" s="523" t="s">
        <v>139</v>
      </c>
      <c r="D10" s="523"/>
      <c r="E10" s="523"/>
      <c r="F10" s="523"/>
      <c r="G10" s="523"/>
      <c r="H10" s="523"/>
      <c r="I10" s="523"/>
    </row>
    <row r="11" spans="1:9" x14ac:dyDescent="0.25">
      <c r="A11" s="190" t="s">
        <v>127</v>
      </c>
      <c r="B11" s="178" t="s">
        <v>245</v>
      </c>
      <c r="C11" s="178"/>
      <c r="D11" s="178"/>
      <c r="E11" s="178"/>
      <c r="F11" s="178"/>
      <c r="G11" s="178"/>
      <c r="H11" s="178"/>
      <c r="I11" s="178"/>
    </row>
    <row r="12" spans="1:9" x14ac:dyDescent="0.25">
      <c r="A12" s="1" t="s">
        <v>9</v>
      </c>
      <c r="C12" s="523" t="s">
        <v>68</v>
      </c>
      <c r="D12" s="523"/>
      <c r="E12" s="13">
        <f>'Mobility 2 - Estimate'!G13</f>
        <v>1.92</v>
      </c>
      <c r="F12" s="522" t="s">
        <v>71</v>
      </c>
      <c r="G12" s="522"/>
      <c r="H12" s="524" t="s">
        <v>72</v>
      </c>
      <c r="I12" s="524"/>
    </row>
    <row r="13" spans="1:9" x14ac:dyDescent="0.25">
      <c r="C13" s="523" t="s">
        <v>69</v>
      </c>
      <c r="D13" s="523"/>
      <c r="E13" s="13">
        <f>'Mobility 2 - Estimate'!G14</f>
        <v>2.74</v>
      </c>
      <c r="F13" s="522" t="s">
        <v>71</v>
      </c>
      <c r="G13" s="522"/>
      <c r="H13" s="524" t="s">
        <v>72</v>
      </c>
      <c r="I13" s="524"/>
    </row>
    <row r="14" spans="1:9" x14ac:dyDescent="0.25">
      <c r="C14" s="523" t="s">
        <v>70</v>
      </c>
      <c r="D14" s="523"/>
      <c r="E14" s="13">
        <f>'Mobility 2 - Estimate'!G15</f>
        <v>59.19</v>
      </c>
      <c r="F14" s="522" t="s">
        <v>81</v>
      </c>
      <c r="G14" s="522"/>
      <c r="H14" s="524" t="s">
        <v>72</v>
      </c>
      <c r="I14" s="524"/>
    </row>
    <row r="15" spans="1:9" x14ac:dyDescent="0.25">
      <c r="C15" s="523" t="s">
        <v>61</v>
      </c>
      <c r="D15" s="523"/>
      <c r="E15" s="13">
        <f>'Mobility 2 - Estimate'!G16</f>
        <v>0.18368000000000001</v>
      </c>
      <c r="F15" s="522" t="s">
        <v>62</v>
      </c>
      <c r="G15" s="522"/>
      <c r="H15" s="524" t="s">
        <v>63</v>
      </c>
      <c r="I15" s="524"/>
    </row>
    <row r="16" spans="1:9" x14ac:dyDescent="0.25">
      <c r="C16" s="523" t="s">
        <v>64</v>
      </c>
      <c r="D16" s="523"/>
      <c r="E16" s="13">
        <f>'Mobility 2 - Estimate'!G17</f>
        <v>0.11529</v>
      </c>
      <c r="F16" s="522" t="s">
        <v>62</v>
      </c>
      <c r="G16" s="522"/>
      <c r="H16" s="524" t="s">
        <v>63</v>
      </c>
      <c r="I16" s="524"/>
    </row>
    <row r="17" spans="3:9" x14ac:dyDescent="0.25">
      <c r="C17" s="523" t="s">
        <v>65</v>
      </c>
      <c r="D17" s="523"/>
      <c r="E17" s="13">
        <f>'Mobility 2 - Estimate'!G18</f>
        <v>0.79100000000000004</v>
      </c>
      <c r="F17" s="522" t="s">
        <v>62</v>
      </c>
      <c r="G17" s="522"/>
      <c r="H17" s="524" t="s">
        <v>66</v>
      </c>
      <c r="I17" s="524"/>
    </row>
    <row r="18" spans="3:9" x14ac:dyDescent="0.25">
      <c r="C18" s="204" t="s">
        <v>250</v>
      </c>
      <c r="D18" s="6"/>
      <c r="E18" s="13">
        <f>'Mobility 2 - Estimate'!G19</f>
        <v>59.4</v>
      </c>
      <c r="F18" s="3" t="s">
        <v>182</v>
      </c>
      <c r="G18" s="3"/>
      <c r="H18" s="182"/>
      <c r="I18" s="182"/>
    </row>
    <row r="19" spans="3:9" x14ac:dyDescent="0.25">
      <c r="C19" s="6" t="s">
        <v>183</v>
      </c>
      <c r="D19" s="6"/>
      <c r="E19" s="13">
        <f>'Mobility 2 - Estimate'!G20</f>
        <v>98.8</v>
      </c>
      <c r="F19" s="3" t="s">
        <v>182</v>
      </c>
      <c r="G19" s="3"/>
      <c r="H19" s="182"/>
      <c r="I19" s="182"/>
    </row>
    <row r="20" spans="3:9" x14ac:dyDescent="0.25">
      <c r="C20" s="6" t="s">
        <v>184</v>
      </c>
      <c r="D20" s="6"/>
      <c r="E20" s="13">
        <f>'Mobility 2 - Estimate'!G21</f>
        <v>125</v>
      </c>
      <c r="F20" s="3" t="s">
        <v>182</v>
      </c>
      <c r="G20" s="3"/>
      <c r="H20" s="182"/>
      <c r="I20" s="182"/>
    </row>
    <row r="21" spans="3:9" x14ac:dyDescent="0.25">
      <c r="C21" s="204" t="s">
        <v>255</v>
      </c>
      <c r="D21" s="6"/>
      <c r="E21" s="13">
        <f>'Mobility 2 - Estimate'!G22</f>
        <v>273</v>
      </c>
      <c r="F21" s="3" t="s">
        <v>182</v>
      </c>
      <c r="G21" s="3"/>
      <c r="H21" s="182"/>
      <c r="I21" s="182"/>
    </row>
    <row r="22" spans="3:9" x14ac:dyDescent="0.25">
      <c r="C22" s="204" t="s">
        <v>254</v>
      </c>
      <c r="D22" s="6"/>
      <c r="E22" s="13">
        <f>'Mobility 2 - Estimate'!G23</f>
        <v>228</v>
      </c>
      <c r="F22" s="3" t="s">
        <v>182</v>
      </c>
      <c r="G22" s="3"/>
      <c r="H22" s="182"/>
      <c r="I22" s="182"/>
    </row>
    <row r="23" spans="3:9" x14ac:dyDescent="0.25">
      <c r="C23" s="204" t="s">
        <v>253</v>
      </c>
      <c r="D23" s="6"/>
      <c r="E23" s="13">
        <f>'Mobility 2 - Estimate'!G24</f>
        <v>203</v>
      </c>
      <c r="F23" s="3" t="s">
        <v>182</v>
      </c>
      <c r="G23" s="3"/>
      <c r="H23" s="182"/>
      <c r="I23" s="182"/>
    </row>
    <row r="24" spans="3:9" x14ac:dyDescent="0.25">
      <c r="C24" s="6" t="s">
        <v>185</v>
      </c>
      <c r="D24" s="6"/>
      <c r="E24" s="13">
        <f>'Mobility 2 - Estimate'!G25</f>
        <v>193</v>
      </c>
      <c r="F24" s="3" t="s">
        <v>182</v>
      </c>
      <c r="G24" s="3"/>
      <c r="H24" s="182"/>
      <c r="I24" s="182"/>
    </row>
    <row r="25" spans="3:9" x14ac:dyDescent="0.25">
      <c r="C25" s="6" t="s">
        <v>186</v>
      </c>
      <c r="D25" s="6"/>
      <c r="E25" s="13">
        <f>'Mobility 2 - Estimate'!G26</f>
        <v>221</v>
      </c>
      <c r="F25" s="3" t="s">
        <v>182</v>
      </c>
      <c r="G25" s="3"/>
      <c r="H25" s="182"/>
      <c r="I25" s="182"/>
    </row>
    <row r="26" spans="3:9" x14ac:dyDescent="0.25">
      <c r="C26" s="113" t="s">
        <v>208</v>
      </c>
      <c r="D26" s="6"/>
      <c r="E26" s="13">
        <f>'Mobility 2 - Estimate'!G27</f>
        <v>379</v>
      </c>
      <c r="F26" s="3" t="s">
        <v>182</v>
      </c>
      <c r="G26" s="3"/>
      <c r="H26" s="182"/>
      <c r="I26" s="182"/>
    </row>
    <row r="27" spans="3:9" x14ac:dyDescent="0.25">
      <c r="C27" s="113" t="s">
        <v>209</v>
      </c>
      <c r="D27" s="6"/>
      <c r="E27" s="13">
        <f>'Mobility 2 - Estimate'!G28</f>
        <v>148</v>
      </c>
      <c r="F27" s="3" t="s">
        <v>182</v>
      </c>
      <c r="G27" s="3"/>
      <c r="H27" s="182"/>
      <c r="I27" s="182"/>
    </row>
    <row r="28" spans="3:9" x14ac:dyDescent="0.25">
      <c r="C28" s="6" t="s">
        <v>187</v>
      </c>
      <c r="D28" s="6"/>
      <c r="E28" s="13">
        <f>'Mobility 2 - Estimate'!G29</f>
        <v>329</v>
      </c>
      <c r="F28" s="3" t="s">
        <v>182</v>
      </c>
      <c r="G28" s="3"/>
      <c r="H28" s="182"/>
      <c r="I28" s="182"/>
    </row>
    <row r="29" spans="3:9" x14ac:dyDescent="0.25">
      <c r="C29" s="113" t="s">
        <v>211</v>
      </c>
      <c r="D29" s="6"/>
      <c r="E29" s="13">
        <f>'Mobility 2 - Estimate'!G30</f>
        <v>286</v>
      </c>
      <c r="F29" s="3" t="s">
        <v>182</v>
      </c>
      <c r="G29" s="3"/>
      <c r="H29" s="182"/>
      <c r="I29" s="182"/>
    </row>
    <row r="30" spans="3:9" x14ac:dyDescent="0.25">
      <c r="C30" s="6" t="s">
        <v>188</v>
      </c>
      <c r="D30" s="6"/>
      <c r="E30" s="13">
        <f>'Mobility 2 - Estimate'!G31</f>
        <v>781</v>
      </c>
      <c r="F30" s="3" t="s">
        <v>182</v>
      </c>
      <c r="G30" s="3"/>
      <c r="H30" s="182"/>
      <c r="I30" s="182"/>
    </row>
    <row r="31" spans="3:9" x14ac:dyDescent="0.25">
      <c r="C31" s="113" t="s">
        <v>205</v>
      </c>
      <c r="D31" s="6"/>
      <c r="E31" s="13">
        <f>'Mobility 2 - Estimate'!G32</f>
        <v>329</v>
      </c>
      <c r="F31" s="3" t="s">
        <v>182</v>
      </c>
      <c r="G31" s="3"/>
      <c r="H31" s="182"/>
      <c r="I31" s="182"/>
    </row>
    <row r="32" spans="3:9" x14ac:dyDescent="0.25">
      <c r="C32" s="6" t="s">
        <v>189</v>
      </c>
      <c r="D32" s="6"/>
      <c r="E32" s="13">
        <f>'Mobility 2 - Estimate'!G33</f>
        <v>286</v>
      </c>
      <c r="F32" s="3" t="s">
        <v>182</v>
      </c>
      <c r="G32" s="3"/>
      <c r="H32" s="182"/>
      <c r="I32" s="182"/>
    </row>
    <row r="33" spans="1:9" x14ac:dyDescent="0.25">
      <c r="C33" s="6" t="s">
        <v>190</v>
      </c>
      <c r="D33" s="6"/>
      <c r="E33" s="13">
        <f>'Mobility 2 - Estimate'!G34</f>
        <v>781</v>
      </c>
      <c r="F33" s="3" t="s">
        <v>182</v>
      </c>
      <c r="G33" s="3"/>
      <c r="H33" s="182"/>
      <c r="I33" s="182"/>
    </row>
    <row r="34" spans="1:9" x14ac:dyDescent="0.25">
      <c r="C34" s="204" t="s">
        <v>256</v>
      </c>
      <c r="D34" s="6"/>
      <c r="E34" s="13">
        <f>'Mobility 2 - Estimate'!G35</f>
        <v>1110</v>
      </c>
      <c r="F34" s="3" t="s">
        <v>182</v>
      </c>
      <c r="G34" s="3"/>
      <c r="H34" s="182"/>
      <c r="I34" s="182"/>
    </row>
    <row r="35" spans="1:9" x14ac:dyDescent="0.25">
      <c r="C35" s="204" t="s">
        <v>257</v>
      </c>
      <c r="D35" s="6"/>
      <c r="E35" s="13">
        <f>'Mobility 2 - Estimate'!G36</f>
        <v>613</v>
      </c>
      <c r="F35" s="3" t="s">
        <v>182</v>
      </c>
      <c r="G35" s="3"/>
      <c r="H35" s="182"/>
      <c r="I35" s="182"/>
    </row>
    <row r="36" spans="1:9" x14ac:dyDescent="0.25">
      <c r="C36" s="204" t="s">
        <v>258</v>
      </c>
      <c r="D36" s="6"/>
      <c r="E36" s="13">
        <f>'Mobility 2 - Estimate'!G37</f>
        <v>1200</v>
      </c>
      <c r="F36" s="3" t="s">
        <v>182</v>
      </c>
      <c r="G36" s="3"/>
      <c r="H36" s="182"/>
      <c r="I36" s="182"/>
    </row>
    <row r="37" spans="1:9" x14ac:dyDescent="0.25">
      <c r="C37" s="204" t="s">
        <v>259</v>
      </c>
      <c r="D37" s="6"/>
      <c r="E37" s="13">
        <f>'Mobility 2 - Estimate'!G38</f>
        <v>909</v>
      </c>
      <c r="F37" s="3" t="s">
        <v>182</v>
      </c>
      <c r="G37" s="3"/>
      <c r="H37" s="182"/>
      <c r="I37" s="182"/>
    </row>
    <row r="38" spans="1:9" ht="14.25" customHeight="1" x14ac:dyDescent="0.25">
      <c r="A38" s="1"/>
      <c r="C38" s="6"/>
      <c r="F38" s="3"/>
      <c r="G38" s="3"/>
      <c r="H38" s="182"/>
      <c r="I38" s="182"/>
    </row>
    <row r="39" spans="1:9" s="189" customFormat="1" x14ac:dyDescent="0.25">
      <c r="A39" s="47" t="s">
        <v>127</v>
      </c>
      <c r="B39" s="43" t="s">
        <v>246</v>
      </c>
      <c r="C39" s="190"/>
      <c r="D39" s="190"/>
      <c r="E39" s="191"/>
      <c r="F39" s="192"/>
      <c r="G39" s="192"/>
      <c r="H39" s="193"/>
      <c r="I39" s="193"/>
    </row>
    <row r="40" spans="1:9" s="172" customFormat="1" x14ac:dyDescent="0.25">
      <c r="A40" s="47" t="s">
        <v>127</v>
      </c>
      <c r="B40" s="43" t="s">
        <v>215</v>
      </c>
      <c r="C40" s="173"/>
      <c r="D40" s="173"/>
      <c r="E40" s="174"/>
      <c r="F40" s="175"/>
      <c r="G40" s="175"/>
      <c r="H40" s="176"/>
      <c r="I40" s="176"/>
    </row>
    <row r="41" spans="1:9" ht="33.75" x14ac:dyDescent="0.25">
      <c r="B41" s="158">
        <v>2</v>
      </c>
      <c r="C41" s="171" t="s">
        <v>216</v>
      </c>
      <c r="D41" s="155" t="s">
        <v>166</v>
      </c>
      <c r="E41" s="155" t="s">
        <v>69</v>
      </c>
      <c r="F41" s="155" t="s">
        <v>70</v>
      </c>
      <c r="G41" s="159" t="s">
        <v>220</v>
      </c>
      <c r="H41" s="182"/>
      <c r="I41" s="182"/>
    </row>
    <row r="42" spans="1:9" x14ac:dyDescent="0.25">
      <c r="C42" s="156" t="s">
        <v>147</v>
      </c>
      <c r="D42" s="162">
        <v>100</v>
      </c>
      <c r="E42" s="157"/>
      <c r="F42" s="157"/>
      <c r="G42" s="169">
        <f>SUM(D42)</f>
        <v>100</v>
      </c>
      <c r="H42" s="182"/>
      <c r="I42" s="182"/>
    </row>
    <row r="43" spans="1:9" x14ac:dyDescent="0.25">
      <c r="C43" s="156" t="s">
        <v>217</v>
      </c>
      <c r="D43" s="162">
        <v>95</v>
      </c>
      <c r="E43" s="162">
        <v>0</v>
      </c>
      <c r="F43" s="162">
        <v>5</v>
      </c>
      <c r="G43" s="169">
        <f>SUM(D43:F43)</f>
        <v>100</v>
      </c>
      <c r="H43" s="182"/>
      <c r="I43" s="182"/>
    </row>
    <row r="44" spans="1:9" x14ac:dyDescent="0.25">
      <c r="C44" s="156" t="s">
        <v>149</v>
      </c>
      <c r="D44" s="162">
        <v>90</v>
      </c>
      <c r="E44" s="162">
        <v>10</v>
      </c>
      <c r="F44" s="157"/>
      <c r="G44" s="169">
        <f>SUM(D44:E44)</f>
        <v>100</v>
      </c>
      <c r="H44" s="182"/>
      <c r="I44" s="182"/>
    </row>
    <row r="45" spans="1:9" x14ac:dyDescent="0.25">
      <c r="C45" s="156" t="s">
        <v>150</v>
      </c>
      <c r="D45" s="157"/>
      <c r="E45" s="162">
        <v>100</v>
      </c>
      <c r="F45" s="157"/>
      <c r="G45" s="169">
        <f>SUM(D45:F45)</f>
        <v>100</v>
      </c>
      <c r="H45" s="182"/>
      <c r="I45" s="182"/>
    </row>
    <row r="46" spans="1:9" x14ac:dyDescent="0.25">
      <c r="C46" s="156" t="s">
        <v>218</v>
      </c>
      <c r="D46" s="162">
        <v>10</v>
      </c>
      <c r="E46" s="162">
        <v>90</v>
      </c>
      <c r="F46" s="157"/>
      <c r="G46" s="169">
        <f>SUM(D46:F46)</f>
        <v>100</v>
      </c>
      <c r="H46" s="182"/>
      <c r="I46" s="182"/>
    </row>
    <row r="47" spans="1:9" x14ac:dyDescent="0.25">
      <c r="C47" s="156" t="s">
        <v>219</v>
      </c>
      <c r="D47" s="162">
        <v>0</v>
      </c>
      <c r="E47" s="162">
        <v>90</v>
      </c>
      <c r="F47" s="162">
        <v>10</v>
      </c>
      <c r="G47" s="169">
        <f>SUM(D47:F47)</f>
        <v>100</v>
      </c>
      <c r="H47" s="182"/>
      <c r="I47" s="182"/>
    </row>
    <row r="48" spans="1:9" x14ac:dyDescent="0.25">
      <c r="C48" s="6"/>
      <c r="D48" s="6"/>
      <c r="E48" s="13"/>
      <c r="F48" s="3"/>
      <c r="G48" s="3"/>
      <c r="H48" s="182"/>
      <c r="I48" s="182"/>
    </row>
    <row r="49" spans="2:13" x14ac:dyDescent="0.25">
      <c r="B49" s="164">
        <v>3</v>
      </c>
      <c r="C49" s="5" t="s">
        <v>229</v>
      </c>
      <c r="D49" s="6"/>
      <c r="E49" s="13"/>
      <c r="F49" s="3"/>
      <c r="G49" s="3"/>
      <c r="H49" s="182"/>
      <c r="I49" s="182"/>
    </row>
    <row r="50" spans="2:13" s="151" customFormat="1" ht="51" x14ac:dyDescent="0.2">
      <c r="C50" s="165" t="s">
        <v>221</v>
      </c>
      <c r="D50" s="163" t="s">
        <v>206</v>
      </c>
      <c r="E50" s="163" t="s">
        <v>222</v>
      </c>
      <c r="F50" s="163" t="s">
        <v>223</v>
      </c>
      <c r="G50" s="163" t="s">
        <v>224</v>
      </c>
      <c r="H50" s="163" t="s">
        <v>225</v>
      </c>
      <c r="I50" s="163" t="s">
        <v>226</v>
      </c>
      <c r="J50" s="163" t="s">
        <v>227</v>
      </c>
      <c r="K50" s="163" t="s">
        <v>167</v>
      </c>
      <c r="L50" s="163" t="s">
        <v>168</v>
      </c>
      <c r="M50" s="163" t="s">
        <v>228</v>
      </c>
    </row>
    <row r="51" spans="2:13" x14ac:dyDescent="0.25">
      <c r="C51" s="162" t="s">
        <v>147</v>
      </c>
      <c r="D51" s="157"/>
      <c r="E51" s="157"/>
      <c r="F51" s="157"/>
      <c r="G51" s="157"/>
      <c r="H51" s="157"/>
      <c r="I51" s="157"/>
      <c r="J51" s="162">
        <v>5</v>
      </c>
      <c r="K51" s="162">
        <v>20</v>
      </c>
      <c r="L51" s="162">
        <v>75</v>
      </c>
      <c r="M51" s="170">
        <f>SUM(J51:L51)</f>
        <v>100</v>
      </c>
    </row>
    <row r="52" spans="2:13" x14ac:dyDescent="0.25">
      <c r="C52" s="162" t="s">
        <v>217</v>
      </c>
      <c r="D52" s="162">
        <v>5</v>
      </c>
      <c r="E52" s="157"/>
      <c r="F52" s="162">
        <v>5</v>
      </c>
      <c r="G52" s="162">
        <v>10</v>
      </c>
      <c r="H52" s="162">
        <v>30</v>
      </c>
      <c r="I52" s="162">
        <v>50</v>
      </c>
      <c r="J52" s="157"/>
      <c r="K52" s="157"/>
      <c r="L52" s="157"/>
      <c r="M52" s="170">
        <f>SUM(D52,F52:I52)</f>
        <v>100</v>
      </c>
    </row>
    <row r="53" spans="2:13" x14ac:dyDescent="0.25">
      <c r="C53" s="162" t="s">
        <v>149</v>
      </c>
      <c r="D53" s="157"/>
      <c r="E53" s="162">
        <v>100</v>
      </c>
      <c r="F53" s="157"/>
      <c r="G53" s="157"/>
      <c r="H53" s="157"/>
      <c r="I53" s="157"/>
      <c r="J53" s="157"/>
      <c r="K53" s="157"/>
      <c r="L53" s="157"/>
      <c r="M53" s="170">
        <f>SUM(E53)</f>
        <v>100</v>
      </c>
    </row>
    <row r="54" spans="2:13" x14ac:dyDescent="0.25">
      <c r="C54" s="162" t="s">
        <v>150</v>
      </c>
      <c r="D54" s="157"/>
      <c r="E54" s="157"/>
      <c r="F54" s="157"/>
      <c r="G54" s="157"/>
      <c r="H54" s="157"/>
      <c r="I54" s="157"/>
      <c r="J54" s="157"/>
      <c r="K54" s="157"/>
      <c r="L54" s="157"/>
      <c r="M54" s="170">
        <v>0</v>
      </c>
    </row>
    <row r="55" spans="2:13" x14ac:dyDescent="0.25">
      <c r="C55" s="162" t="s">
        <v>218</v>
      </c>
      <c r="D55" s="157"/>
      <c r="E55" s="162">
        <v>100</v>
      </c>
      <c r="F55" s="157"/>
      <c r="G55" s="157"/>
      <c r="H55" s="157"/>
      <c r="I55" s="157"/>
      <c r="J55" s="157"/>
      <c r="K55" s="157"/>
      <c r="L55" s="157"/>
      <c r="M55" s="170">
        <f>SUM(E55)</f>
        <v>100</v>
      </c>
    </row>
    <row r="56" spans="2:13" x14ac:dyDescent="0.25">
      <c r="C56" s="162" t="s">
        <v>219</v>
      </c>
      <c r="D56" s="162">
        <f xml:space="preserve"> [1]Fleet!D34/100 * [1]Calc1!D37</f>
        <v>0</v>
      </c>
      <c r="E56" s="157"/>
      <c r="F56" s="157"/>
      <c r="G56" s="157"/>
      <c r="H56" s="157"/>
      <c r="I56" s="157"/>
      <c r="J56" s="157"/>
      <c r="K56" s="157"/>
      <c r="L56" s="157"/>
      <c r="M56" s="170">
        <f>SUM(D56)</f>
        <v>0</v>
      </c>
    </row>
    <row r="57" spans="2:13" x14ac:dyDescent="0.25">
      <c r="C57" s="5" t="s">
        <v>232</v>
      </c>
      <c r="D57" s="6"/>
      <c r="E57" s="13"/>
      <c r="F57" s="3"/>
      <c r="G57" s="3"/>
      <c r="H57" s="182"/>
      <c r="I57" s="182"/>
    </row>
    <row r="58" spans="2:13" ht="60" x14ac:dyDescent="0.25">
      <c r="C58" s="160" t="s">
        <v>230</v>
      </c>
      <c r="D58" s="161" t="s">
        <v>222</v>
      </c>
      <c r="E58" s="161" t="s">
        <v>231</v>
      </c>
      <c r="F58" s="3"/>
      <c r="G58" s="3"/>
      <c r="H58" s="182"/>
      <c r="I58" s="182"/>
    </row>
    <row r="59" spans="2:13" x14ac:dyDescent="0.25">
      <c r="C59" s="162" t="s">
        <v>147</v>
      </c>
      <c r="D59" s="157"/>
      <c r="E59" s="169">
        <v>0</v>
      </c>
      <c r="F59" s="3"/>
      <c r="G59" s="3"/>
      <c r="H59" s="182"/>
      <c r="I59" s="182"/>
    </row>
    <row r="60" spans="2:13" x14ac:dyDescent="0.25">
      <c r="C60" s="162" t="s">
        <v>217</v>
      </c>
      <c r="D60" s="162">
        <f xml:space="preserve"> [1]Fleet!D40/100 * [1]Calc1!E33</f>
        <v>0</v>
      </c>
      <c r="E60" s="169">
        <f>SUM(D60)</f>
        <v>0</v>
      </c>
      <c r="F60" s="3"/>
      <c r="G60" s="3"/>
      <c r="H60" s="182"/>
      <c r="I60" s="182"/>
    </row>
    <row r="61" spans="2:13" x14ac:dyDescent="0.25">
      <c r="C61" s="162" t="s">
        <v>149</v>
      </c>
      <c r="D61" s="162">
        <v>100</v>
      </c>
      <c r="E61" s="169">
        <f>SUM(D61)</f>
        <v>100</v>
      </c>
      <c r="F61" s="3"/>
      <c r="G61" s="3"/>
      <c r="H61" s="182"/>
      <c r="I61" s="182"/>
    </row>
    <row r="62" spans="2:13" x14ac:dyDescent="0.25">
      <c r="C62" s="162" t="s">
        <v>150</v>
      </c>
      <c r="D62" s="162">
        <v>100</v>
      </c>
      <c r="E62" s="169">
        <f>SUM(D62)</f>
        <v>100</v>
      </c>
      <c r="F62" s="3"/>
      <c r="G62" s="3"/>
      <c r="H62" s="182"/>
      <c r="I62" s="182"/>
    </row>
    <row r="63" spans="2:13" x14ac:dyDescent="0.25">
      <c r="C63" s="162" t="s">
        <v>218</v>
      </c>
      <c r="D63" s="162">
        <v>100</v>
      </c>
      <c r="E63" s="169">
        <f>SUM(D63)</f>
        <v>100</v>
      </c>
      <c r="F63" s="3"/>
      <c r="G63" s="3"/>
      <c r="H63" s="182"/>
      <c r="I63" s="182"/>
    </row>
    <row r="64" spans="2:13" x14ac:dyDescent="0.25">
      <c r="C64" s="162" t="s">
        <v>219</v>
      </c>
      <c r="D64" s="162">
        <v>100</v>
      </c>
      <c r="E64" s="169">
        <f>SUM(D64)</f>
        <v>100</v>
      </c>
      <c r="F64" s="3"/>
      <c r="G64" s="3"/>
      <c r="H64" s="182"/>
      <c r="I64" s="182"/>
    </row>
    <row r="65" spans="1:10" x14ac:dyDescent="0.25">
      <c r="C65" s="166"/>
      <c r="D65" s="166"/>
      <c r="E65" s="166"/>
      <c r="F65" s="3"/>
      <c r="G65" s="3"/>
      <c r="H65" s="182"/>
      <c r="I65" s="182"/>
    </row>
    <row r="66" spans="1:10" x14ac:dyDescent="0.25">
      <c r="C66" s="5" t="s">
        <v>70</v>
      </c>
      <c r="D66" s="6"/>
      <c r="E66" s="13"/>
      <c r="F66" s="3"/>
      <c r="G66" s="3"/>
      <c r="H66" s="182"/>
      <c r="I66" s="182"/>
    </row>
    <row r="67" spans="1:10" ht="75" x14ac:dyDescent="0.25">
      <c r="C67" s="167" t="s">
        <v>233</v>
      </c>
      <c r="D67" s="161" t="s">
        <v>206</v>
      </c>
      <c r="E67" s="161" t="s">
        <v>234</v>
      </c>
      <c r="F67" s="161" t="s">
        <v>235</v>
      </c>
      <c r="G67" s="161" t="s">
        <v>236</v>
      </c>
      <c r="H67" s="161" t="s">
        <v>237</v>
      </c>
      <c r="I67" s="161" t="s">
        <v>238</v>
      </c>
      <c r="J67" s="161" t="s">
        <v>239</v>
      </c>
    </row>
    <row r="68" spans="1:10" x14ac:dyDescent="0.25">
      <c r="C68" s="162" t="s">
        <v>147</v>
      </c>
      <c r="D68" s="157"/>
      <c r="E68" s="157"/>
      <c r="F68" s="157"/>
      <c r="G68" s="157"/>
      <c r="H68" s="157"/>
      <c r="I68" s="157"/>
      <c r="J68" s="169">
        <v>0</v>
      </c>
    </row>
    <row r="69" spans="1:10" x14ac:dyDescent="0.25">
      <c r="C69" s="162" t="s">
        <v>217</v>
      </c>
      <c r="D69" s="162">
        <v>50</v>
      </c>
      <c r="E69" s="162">
        <v>50</v>
      </c>
      <c r="F69" s="157"/>
      <c r="G69" s="157"/>
      <c r="H69" s="157"/>
      <c r="I69" s="157"/>
      <c r="J69" s="169">
        <f>SUM(D69:E69)</f>
        <v>100</v>
      </c>
    </row>
    <row r="70" spans="1:10" x14ac:dyDescent="0.25">
      <c r="C70" s="162" t="s">
        <v>149</v>
      </c>
      <c r="D70" s="157"/>
      <c r="E70" s="157"/>
      <c r="F70" s="157"/>
      <c r="G70" s="157"/>
      <c r="H70" s="157"/>
      <c r="I70" s="157"/>
      <c r="J70" s="169">
        <v>0</v>
      </c>
    </row>
    <row r="71" spans="1:10" x14ac:dyDescent="0.25">
      <c r="C71" s="162" t="s">
        <v>150</v>
      </c>
      <c r="D71" s="157"/>
      <c r="E71" s="157"/>
      <c r="F71" s="157"/>
      <c r="G71" s="157"/>
      <c r="H71" s="157"/>
      <c r="I71" s="157"/>
      <c r="J71" s="169">
        <v>0</v>
      </c>
    </row>
    <row r="72" spans="1:10" x14ac:dyDescent="0.25">
      <c r="C72" s="162" t="s">
        <v>218</v>
      </c>
      <c r="D72" s="157"/>
      <c r="E72" s="157"/>
      <c r="F72" s="157"/>
      <c r="G72" s="157"/>
      <c r="H72" s="157"/>
      <c r="I72" s="157"/>
      <c r="J72" s="169">
        <v>0</v>
      </c>
    </row>
    <row r="73" spans="1:10" x14ac:dyDescent="0.25">
      <c r="C73" s="162" t="s">
        <v>219</v>
      </c>
      <c r="D73" s="157"/>
      <c r="E73" s="157"/>
      <c r="F73" s="162">
        <v>50</v>
      </c>
      <c r="G73" s="162">
        <v>40</v>
      </c>
      <c r="H73" s="162">
        <v>0</v>
      </c>
      <c r="I73" s="162">
        <v>10</v>
      </c>
      <c r="J73" s="169">
        <f>SUM(F73:I73)</f>
        <v>100</v>
      </c>
    </row>
    <row r="74" spans="1:10" x14ac:dyDescent="0.25">
      <c r="C74" s="6"/>
      <c r="D74" s="6"/>
      <c r="E74" s="13"/>
      <c r="F74" s="3"/>
      <c r="G74" s="3"/>
      <c r="H74" s="182"/>
      <c r="I74" s="182"/>
    </row>
    <row r="75" spans="1:10" s="43" customFormat="1" x14ac:dyDescent="0.25">
      <c r="A75" s="47" t="s">
        <v>127</v>
      </c>
      <c r="B75" s="43" t="s">
        <v>246</v>
      </c>
      <c r="C75" s="178"/>
      <c r="D75" s="178"/>
      <c r="E75" s="179"/>
      <c r="F75" s="180"/>
      <c r="G75" s="180"/>
      <c r="H75" s="181"/>
      <c r="I75" s="181"/>
    </row>
    <row r="77" spans="1:10" x14ac:dyDescent="0.25">
      <c r="A77" s="83">
        <v>0</v>
      </c>
      <c r="B77" s="565" t="s">
        <v>174</v>
      </c>
      <c r="C77" s="565"/>
      <c r="D77" s="565"/>
      <c r="E77" s="565"/>
    </row>
    <row r="78" spans="1:10" x14ac:dyDescent="0.25">
      <c r="A78" s="16" t="s">
        <v>262</v>
      </c>
      <c r="D78" s="16" t="s">
        <v>55</v>
      </c>
      <c r="E78" s="69">
        <v>2017</v>
      </c>
    </row>
    <row r="79" spans="1:10" x14ac:dyDescent="0.25">
      <c r="A79" s="152" t="s">
        <v>213</v>
      </c>
      <c r="B79" s="73"/>
      <c r="C79" s="73"/>
      <c r="D79" s="9"/>
      <c r="E79" s="69">
        <v>365</v>
      </c>
    </row>
    <row r="80" spans="1:10" x14ac:dyDescent="0.25">
      <c r="A80" s="144" t="s">
        <v>191</v>
      </c>
      <c r="B80" s="145" t="s">
        <v>192</v>
      </c>
      <c r="C80" s="146" t="s">
        <v>147</v>
      </c>
      <c r="D80" s="146" t="s">
        <v>148</v>
      </c>
      <c r="E80" s="146" t="s">
        <v>149</v>
      </c>
      <c r="F80" s="146" t="s">
        <v>150</v>
      </c>
      <c r="G80" s="146" t="s">
        <v>151</v>
      </c>
      <c r="H80" s="146" t="s">
        <v>152</v>
      </c>
    </row>
    <row r="81" spans="1:9" x14ac:dyDescent="0.25">
      <c r="A81" s="2">
        <v>1</v>
      </c>
      <c r="B81" s="188">
        <v>1.45</v>
      </c>
      <c r="C81" s="69">
        <v>62</v>
      </c>
      <c r="D81" s="69">
        <v>452</v>
      </c>
      <c r="E81" s="69">
        <v>265</v>
      </c>
      <c r="F81" s="69">
        <v>8</v>
      </c>
      <c r="G81" s="69">
        <v>14</v>
      </c>
      <c r="H81" s="69">
        <v>1</v>
      </c>
    </row>
    <row r="82" spans="1:9" x14ac:dyDescent="0.25">
      <c r="A82" s="2">
        <f>A81+1</f>
        <v>2</v>
      </c>
      <c r="B82" s="188">
        <v>1.45</v>
      </c>
      <c r="C82" s="69">
        <v>75</v>
      </c>
      <c r="D82" s="69">
        <v>532</v>
      </c>
      <c r="E82" s="69">
        <v>332</v>
      </c>
      <c r="F82" s="69">
        <v>6</v>
      </c>
      <c r="G82" s="69">
        <v>10</v>
      </c>
      <c r="H82" s="69">
        <v>8</v>
      </c>
    </row>
    <row r="83" spans="1:9" x14ac:dyDescent="0.25">
      <c r="A83" s="2">
        <f t="shared" ref="A83:A91" si="0">A82+1</f>
        <v>3</v>
      </c>
      <c r="B83" s="188">
        <v>0.64</v>
      </c>
      <c r="C83" s="69">
        <v>65</v>
      </c>
      <c r="D83" s="69">
        <v>361</v>
      </c>
      <c r="E83" s="69">
        <v>168</v>
      </c>
      <c r="F83" s="69">
        <v>3</v>
      </c>
      <c r="G83" s="69">
        <v>4</v>
      </c>
      <c r="H83" s="69">
        <v>0</v>
      </c>
    </row>
    <row r="84" spans="1:9" x14ac:dyDescent="0.25">
      <c r="A84" s="2">
        <f t="shared" si="0"/>
        <v>4</v>
      </c>
      <c r="B84" s="188">
        <v>0.16</v>
      </c>
      <c r="C84" s="69">
        <v>54</v>
      </c>
      <c r="D84" s="69">
        <v>385</v>
      </c>
      <c r="E84" s="69">
        <v>159</v>
      </c>
      <c r="F84" s="69">
        <v>4</v>
      </c>
      <c r="G84" s="69">
        <v>5</v>
      </c>
      <c r="H84" s="69">
        <v>0</v>
      </c>
    </row>
    <row r="85" spans="1:9" x14ac:dyDescent="0.25">
      <c r="A85" s="2">
        <f t="shared" si="0"/>
        <v>5</v>
      </c>
      <c r="B85" s="188">
        <v>1.29</v>
      </c>
      <c r="C85" s="69">
        <v>68</v>
      </c>
      <c r="D85" s="69">
        <v>352</v>
      </c>
      <c r="E85" s="69">
        <v>132</v>
      </c>
      <c r="F85" s="69">
        <v>2</v>
      </c>
      <c r="G85" s="69">
        <v>10</v>
      </c>
      <c r="H85" s="69">
        <v>5</v>
      </c>
    </row>
    <row r="86" spans="1:9" x14ac:dyDescent="0.25">
      <c r="A86" s="2">
        <f t="shared" si="0"/>
        <v>6</v>
      </c>
      <c r="B86" s="188">
        <v>0.64</v>
      </c>
      <c r="C86" s="69">
        <v>54</v>
      </c>
      <c r="D86" s="69">
        <v>252</v>
      </c>
      <c r="E86" s="69">
        <v>136</v>
      </c>
      <c r="F86" s="69">
        <v>1</v>
      </c>
      <c r="G86" s="69">
        <v>8</v>
      </c>
      <c r="H86" s="69">
        <v>1</v>
      </c>
    </row>
    <row r="87" spans="1:9" x14ac:dyDescent="0.25">
      <c r="A87" s="2">
        <f t="shared" si="0"/>
        <v>7</v>
      </c>
      <c r="B87" s="188">
        <v>1.1299999999999999</v>
      </c>
      <c r="C87" s="69">
        <v>80</v>
      </c>
      <c r="D87" s="69">
        <v>563</v>
      </c>
      <c r="E87" s="69">
        <v>252</v>
      </c>
      <c r="F87" s="69">
        <v>7</v>
      </c>
      <c r="G87" s="69">
        <v>25</v>
      </c>
      <c r="H87" s="69">
        <v>6</v>
      </c>
    </row>
    <row r="88" spans="1:9" x14ac:dyDescent="0.25">
      <c r="A88" s="2">
        <f t="shared" si="0"/>
        <v>8</v>
      </c>
      <c r="B88" s="188">
        <v>0.83</v>
      </c>
      <c r="C88" s="69">
        <v>20</v>
      </c>
      <c r="D88" s="69">
        <v>125</v>
      </c>
      <c r="E88" s="69">
        <v>15</v>
      </c>
      <c r="F88" s="69">
        <v>1</v>
      </c>
      <c r="G88" s="69">
        <v>2</v>
      </c>
      <c r="H88" s="69">
        <v>1</v>
      </c>
    </row>
    <row r="89" spans="1:9" x14ac:dyDescent="0.25">
      <c r="A89" s="2">
        <f t="shared" si="0"/>
        <v>9</v>
      </c>
      <c r="B89" s="188">
        <v>1.29</v>
      </c>
      <c r="C89" s="69">
        <v>45</v>
      </c>
      <c r="D89" s="69">
        <v>386</v>
      </c>
      <c r="E89" s="69">
        <v>142</v>
      </c>
      <c r="F89" s="69">
        <v>8</v>
      </c>
      <c r="G89" s="69">
        <v>8</v>
      </c>
      <c r="H89" s="69">
        <v>1</v>
      </c>
    </row>
    <row r="90" spans="1:9" x14ac:dyDescent="0.25">
      <c r="A90" s="2">
        <f t="shared" si="0"/>
        <v>10</v>
      </c>
      <c r="B90" s="188">
        <v>0.83</v>
      </c>
      <c r="C90" s="69">
        <v>49</v>
      </c>
      <c r="D90" s="69">
        <v>453</v>
      </c>
      <c r="E90" s="69">
        <v>138</v>
      </c>
      <c r="F90" s="69">
        <v>6</v>
      </c>
      <c r="G90" s="69">
        <v>7</v>
      </c>
      <c r="H90" s="69">
        <v>0</v>
      </c>
    </row>
    <row r="91" spans="1:9" x14ac:dyDescent="0.25">
      <c r="A91" s="2">
        <f t="shared" si="0"/>
        <v>11</v>
      </c>
      <c r="B91" s="188">
        <v>1.03</v>
      </c>
      <c r="C91" s="69">
        <v>73</v>
      </c>
      <c r="D91" s="69">
        <v>452</v>
      </c>
      <c r="E91" s="69">
        <v>230</v>
      </c>
      <c r="F91" s="69">
        <v>7</v>
      </c>
      <c r="G91" s="69">
        <v>4</v>
      </c>
      <c r="H91" s="69">
        <v>3</v>
      </c>
    </row>
    <row r="92" spans="1:9" x14ac:dyDescent="0.25">
      <c r="A92" s="16" t="s">
        <v>243</v>
      </c>
      <c r="B92" s="212"/>
      <c r="C92" s="212"/>
      <c r="D92" s="212"/>
      <c r="E92" s="212"/>
      <c r="F92" s="212"/>
      <c r="G92" s="212"/>
      <c r="H92" s="212"/>
    </row>
    <row r="93" spans="1:9" s="147" customFormat="1" ht="15" customHeight="1" x14ac:dyDescent="0.25">
      <c r="B93" s="210"/>
      <c r="C93" s="149" t="s">
        <v>153</v>
      </c>
      <c r="D93" s="148"/>
      <c r="E93" s="148"/>
      <c r="F93" s="148"/>
      <c r="G93" s="148"/>
      <c r="H93" s="214"/>
      <c r="I93" s="199"/>
    </row>
    <row r="94" spans="1:9" x14ac:dyDescent="0.25">
      <c r="B94" s="213" t="s">
        <v>260</v>
      </c>
      <c r="C94" s="213" t="s">
        <v>212</v>
      </c>
      <c r="D94" s="213" t="s">
        <v>212</v>
      </c>
      <c r="E94" s="213" t="s">
        <v>212</v>
      </c>
      <c r="F94" s="213" t="s">
        <v>212</v>
      </c>
      <c r="G94" s="213" t="s">
        <v>212</v>
      </c>
      <c r="H94" s="213" t="s">
        <v>212</v>
      </c>
      <c r="I94" s="199"/>
    </row>
    <row r="95" spans="1:9" x14ac:dyDescent="0.25">
      <c r="B95" s="211"/>
      <c r="C95" s="72" t="s">
        <v>147</v>
      </c>
      <c r="D95" s="72" t="s">
        <v>148</v>
      </c>
      <c r="E95" s="72" t="s">
        <v>149</v>
      </c>
      <c r="F95" s="72" t="s">
        <v>150</v>
      </c>
      <c r="G95" s="72" t="s">
        <v>151</v>
      </c>
      <c r="H95" s="72" t="s">
        <v>152</v>
      </c>
      <c r="I95" s="199"/>
    </row>
    <row r="96" spans="1:9" x14ac:dyDescent="0.25">
      <c r="B96" s="134">
        <f t="shared" ref="B96:H96" si="1">SUM(B81:B92)</f>
        <v>10.739999999999998</v>
      </c>
      <c r="C96" s="134">
        <f t="shared" si="1"/>
        <v>645</v>
      </c>
      <c r="D96" s="134">
        <f t="shared" si="1"/>
        <v>4313</v>
      </c>
      <c r="E96" s="134">
        <f t="shared" si="1"/>
        <v>1969</v>
      </c>
      <c r="F96" s="134">
        <f t="shared" si="1"/>
        <v>53</v>
      </c>
      <c r="G96" s="134">
        <f t="shared" si="1"/>
        <v>97</v>
      </c>
      <c r="H96" s="134">
        <f t="shared" si="1"/>
        <v>26</v>
      </c>
      <c r="I96" s="198"/>
    </row>
    <row r="97" spans="1:9" x14ac:dyDescent="0.25">
      <c r="A97" s="215" t="s">
        <v>261</v>
      </c>
      <c r="B97" s="185"/>
      <c r="C97" s="185"/>
      <c r="D97" s="185"/>
      <c r="E97" s="185"/>
      <c r="F97" s="185"/>
      <c r="G97" s="185"/>
      <c r="H97" s="186"/>
      <c r="I97" s="198"/>
    </row>
    <row r="98" spans="1:9" x14ac:dyDescent="0.25">
      <c r="A98" s="185"/>
      <c r="B98" s="185"/>
      <c r="C98" s="185"/>
      <c r="D98" s="185"/>
      <c r="E98" s="185"/>
      <c r="F98" s="185"/>
      <c r="G98" s="185"/>
      <c r="H98" s="186"/>
      <c r="I98" s="187"/>
    </row>
    <row r="99" spans="1:9" x14ac:dyDescent="0.25">
      <c r="A99" s="537" t="s">
        <v>214</v>
      </c>
      <c r="B99" s="537"/>
      <c r="C99" s="537"/>
      <c r="D99" s="537"/>
      <c r="E99" s="537"/>
      <c r="F99" s="537"/>
      <c r="G99" s="57"/>
      <c r="H99" s="57"/>
      <c r="I99" s="57"/>
    </row>
    <row r="100" spans="1:9" ht="51.75" x14ac:dyDescent="0.25">
      <c r="A100" s="71" t="s">
        <v>55</v>
      </c>
      <c r="B100" s="72" t="s">
        <v>147</v>
      </c>
      <c r="C100" s="72" t="s">
        <v>148</v>
      </c>
      <c r="D100" s="72" t="s">
        <v>149</v>
      </c>
      <c r="E100" s="72" t="s">
        <v>150</v>
      </c>
      <c r="F100" s="72" t="s">
        <v>151</v>
      </c>
      <c r="G100" s="72" t="s">
        <v>152</v>
      </c>
      <c r="H100" s="70" t="s">
        <v>155</v>
      </c>
      <c r="I100" s="70" t="s">
        <v>154</v>
      </c>
    </row>
    <row r="101" spans="1:9" x14ac:dyDescent="0.25">
      <c r="A101" s="11">
        <f>E78</f>
        <v>2017</v>
      </c>
      <c r="B101" s="74">
        <f>($C185+$C188+$C201)/1000000</f>
        <v>7.5954278399999992E-2</v>
      </c>
      <c r="C101" s="74">
        <f>($D185+$D188+$D201)/1000000</f>
        <v>0.95452205962500003</v>
      </c>
      <c r="D101" s="74">
        <f>($E185+$E188+$E201)/1000000</f>
        <v>0.677895672</v>
      </c>
      <c r="E101" s="74">
        <f>($F$185+$F$188+$F$201)/1000000</f>
        <v>4.4774729999999999E-2</v>
      </c>
      <c r="F101" s="74">
        <f>($G185+$G188+$G201)/1000000</f>
        <v>3.0870502000000001E-2</v>
      </c>
      <c r="G101" s="74">
        <f>($H185+$H188+$H201)/1000000</f>
        <v>2.5447281299999999E-2</v>
      </c>
      <c r="H101" s="74">
        <f>SUM(B101:G101)</f>
        <v>1.809464523325</v>
      </c>
      <c r="I101" s="103"/>
    </row>
    <row r="102" spans="1:9" x14ac:dyDescent="0.25">
      <c r="A102" s="104"/>
      <c r="B102" s="107">
        <f t="shared" ref="B102:G102" si="2">B101*$E79</f>
        <v>27.723311615999997</v>
      </c>
      <c r="C102" s="107">
        <f t="shared" si="2"/>
        <v>348.40055176312501</v>
      </c>
      <c r="D102" s="107">
        <f t="shared" si="2"/>
        <v>247.43192028000001</v>
      </c>
      <c r="E102" s="107">
        <f t="shared" si="2"/>
        <v>16.342776449999999</v>
      </c>
      <c r="F102" s="107">
        <f t="shared" si="2"/>
        <v>11.267733230000001</v>
      </c>
      <c r="G102" s="107">
        <f t="shared" si="2"/>
        <v>9.2882576745000005</v>
      </c>
      <c r="H102" s="107"/>
      <c r="I102" s="108">
        <f>SUM(B102:G102)</f>
        <v>660.45455101362495</v>
      </c>
    </row>
    <row r="103" spans="1:9" x14ac:dyDescent="0.25">
      <c r="A103" s="99"/>
      <c r="B103" s="99"/>
      <c r="C103" s="99"/>
      <c r="D103" s="99"/>
      <c r="E103" s="99"/>
      <c r="F103" s="99"/>
      <c r="G103" s="99"/>
      <c r="H103" s="99"/>
      <c r="I103" s="100"/>
    </row>
    <row r="104" spans="1:9" x14ac:dyDescent="0.25">
      <c r="A104" s="99"/>
      <c r="B104" s="99"/>
      <c r="C104" s="99"/>
      <c r="D104" s="99"/>
      <c r="E104" s="99"/>
      <c r="F104" s="99"/>
      <c r="G104" s="99"/>
      <c r="H104" s="99"/>
      <c r="I104" s="100"/>
    </row>
    <row r="105" spans="1:9" x14ac:dyDescent="0.25">
      <c r="A105" s="503" t="s">
        <v>33</v>
      </c>
      <c r="B105" s="504"/>
      <c r="C105" s="510"/>
      <c r="D105" s="503" t="s">
        <v>34</v>
      </c>
      <c r="E105" s="504"/>
      <c r="F105" s="510"/>
      <c r="G105" s="503" t="s">
        <v>35</v>
      </c>
      <c r="H105" s="504"/>
      <c r="I105" s="510"/>
    </row>
    <row r="106" spans="1:9" x14ac:dyDescent="0.25">
      <c r="A106" s="548"/>
      <c r="B106" s="549"/>
      <c r="C106" s="550"/>
      <c r="D106" s="556"/>
      <c r="E106" s="557"/>
      <c r="F106" s="558"/>
      <c r="G106" s="556"/>
      <c r="H106" s="557"/>
      <c r="I106" s="558"/>
    </row>
    <row r="107" spans="1:9" x14ac:dyDescent="0.25">
      <c r="A107" s="551"/>
      <c r="B107" s="472"/>
      <c r="C107" s="552"/>
      <c r="D107" s="559"/>
      <c r="E107" s="522"/>
      <c r="F107" s="560"/>
      <c r="G107" s="559"/>
      <c r="H107" s="522"/>
      <c r="I107" s="560"/>
    </row>
    <row r="108" spans="1:9" x14ac:dyDescent="0.25">
      <c r="A108" s="553"/>
      <c r="B108" s="554"/>
      <c r="C108" s="555"/>
      <c r="D108" s="525"/>
      <c r="E108" s="526"/>
      <c r="F108" s="561"/>
      <c r="G108" s="525"/>
      <c r="H108" s="526"/>
      <c r="I108" s="561"/>
    </row>
    <row r="109" spans="1:9" x14ac:dyDescent="0.25">
      <c r="A109" s="562" t="s">
        <v>36</v>
      </c>
      <c r="B109" s="563"/>
      <c r="C109" s="564"/>
      <c r="D109" s="562" t="s">
        <v>36</v>
      </c>
      <c r="E109" s="563"/>
      <c r="F109" s="564"/>
      <c r="G109" s="562" t="s">
        <v>36</v>
      </c>
      <c r="H109" s="563"/>
      <c r="I109" s="564"/>
    </row>
    <row r="110" spans="1:9" x14ac:dyDescent="0.25">
      <c r="A110" s="562" t="s">
        <v>14</v>
      </c>
      <c r="B110" s="563"/>
      <c r="C110" s="564"/>
      <c r="D110" s="562" t="s">
        <v>14</v>
      </c>
      <c r="E110" s="563"/>
      <c r="F110" s="564"/>
      <c r="G110" s="562" t="s">
        <v>14</v>
      </c>
      <c r="H110" s="563"/>
      <c r="I110" s="564"/>
    </row>
    <row r="111" spans="1:9" x14ac:dyDescent="0.25">
      <c r="I111" s="77"/>
    </row>
    <row r="112" spans="1:9" x14ac:dyDescent="0.25">
      <c r="I112" s="77"/>
    </row>
    <row r="113" spans="1:9" x14ac:dyDescent="0.25">
      <c r="I113" s="77"/>
    </row>
    <row r="114" spans="1:9" x14ac:dyDescent="0.25">
      <c r="I114" s="77"/>
    </row>
    <row r="115" spans="1:9" x14ac:dyDescent="0.25">
      <c r="I115" s="77"/>
    </row>
    <row r="116" spans="1:9" x14ac:dyDescent="0.25">
      <c r="I116" s="77"/>
    </row>
    <row r="117" spans="1:9" ht="15.75" thickBot="1" x14ac:dyDescent="0.3">
      <c r="A117" s="101" t="s">
        <v>244</v>
      </c>
      <c r="B117" s="101"/>
      <c r="C117" s="101"/>
      <c r="D117" s="101"/>
      <c r="E117" s="101"/>
      <c r="F117" s="101"/>
      <c r="G117" s="101"/>
      <c r="H117" s="101"/>
      <c r="I117" s="105"/>
    </row>
    <row r="118" spans="1:9" x14ac:dyDescent="0.25">
      <c r="A118" s="13"/>
      <c r="B118" s="13"/>
      <c r="C118" s="13"/>
      <c r="D118" s="13"/>
      <c r="E118" s="13"/>
      <c r="F118" s="13"/>
      <c r="G118" s="13"/>
      <c r="H118" s="13"/>
      <c r="I118" s="89"/>
    </row>
    <row r="119" spans="1:9" x14ac:dyDescent="0.25">
      <c r="A119" s="83">
        <v>1</v>
      </c>
      <c r="B119" s="565" t="s">
        <v>164</v>
      </c>
      <c r="C119" s="565"/>
      <c r="D119" s="565"/>
      <c r="E119" s="565"/>
      <c r="I119" s="89"/>
    </row>
    <row r="120" spans="1:9" x14ac:dyDescent="0.25">
      <c r="A120" s="544" t="s">
        <v>163</v>
      </c>
      <c r="B120" s="546"/>
      <c r="C120" s="72" t="s">
        <v>147</v>
      </c>
      <c r="D120" s="72" t="s">
        <v>148</v>
      </c>
      <c r="E120" s="72" t="s">
        <v>149</v>
      </c>
      <c r="F120" s="72" t="s">
        <v>150</v>
      </c>
      <c r="G120" s="72" t="s">
        <v>151</v>
      </c>
      <c r="H120" s="72" t="s">
        <v>152</v>
      </c>
      <c r="I120" s="89"/>
    </row>
    <row r="121" spans="1:9" x14ac:dyDescent="0.25">
      <c r="A121" s="545"/>
      <c r="B121" s="547"/>
      <c r="C121" s="567" t="s">
        <v>175</v>
      </c>
      <c r="D121" s="567"/>
      <c r="E121" s="567"/>
      <c r="F121" s="567"/>
      <c r="G121" s="567"/>
      <c r="H121" s="567"/>
      <c r="I121" s="89"/>
    </row>
    <row r="122" spans="1:9" x14ac:dyDescent="0.25">
      <c r="A122" s="88">
        <v>1</v>
      </c>
      <c r="B122" s="88"/>
      <c r="C122" s="92">
        <f t="shared" ref="C122:H132" si="3">$B81*C81</f>
        <v>89.899999999999991</v>
      </c>
      <c r="D122" s="92">
        <f t="shared" si="3"/>
        <v>655.4</v>
      </c>
      <c r="E122" s="92">
        <f t="shared" si="3"/>
        <v>384.25</v>
      </c>
      <c r="F122" s="92">
        <f t="shared" si="3"/>
        <v>11.6</v>
      </c>
      <c r="G122" s="92">
        <f t="shared" si="3"/>
        <v>20.3</v>
      </c>
      <c r="H122" s="92">
        <f t="shared" si="3"/>
        <v>1.45</v>
      </c>
      <c r="I122" s="89"/>
    </row>
    <row r="123" spans="1:9" x14ac:dyDescent="0.25">
      <c r="A123" s="88">
        <f>A122+1</f>
        <v>2</v>
      </c>
      <c r="B123" s="88"/>
      <c r="C123" s="92">
        <f t="shared" si="3"/>
        <v>108.75</v>
      </c>
      <c r="D123" s="92">
        <f t="shared" si="3"/>
        <v>771.4</v>
      </c>
      <c r="E123" s="92">
        <f t="shared" si="3"/>
        <v>481.4</v>
      </c>
      <c r="F123" s="92">
        <f t="shared" si="3"/>
        <v>8.6999999999999993</v>
      </c>
      <c r="G123" s="92">
        <f t="shared" si="3"/>
        <v>14.5</v>
      </c>
      <c r="H123" s="92">
        <f t="shared" si="3"/>
        <v>11.6</v>
      </c>
      <c r="I123" s="89"/>
    </row>
    <row r="124" spans="1:9" x14ac:dyDescent="0.25">
      <c r="A124" s="88">
        <f t="shared" ref="A124:A132" si="4">A123+1</f>
        <v>3</v>
      </c>
      <c r="B124" s="88"/>
      <c r="C124" s="92">
        <f t="shared" si="3"/>
        <v>41.6</v>
      </c>
      <c r="D124" s="92">
        <f t="shared" si="3"/>
        <v>231.04</v>
      </c>
      <c r="E124" s="92">
        <f t="shared" si="3"/>
        <v>107.52</v>
      </c>
      <c r="F124" s="92">
        <f t="shared" si="3"/>
        <v>1.92</v>
      </c>
      <c r="G124" s="92">
        <f t="shared" si="3"/>
        <v>2.56</v>
      </c>
      <c r="H124" s="92">
        <f t="shared" si="3"/>
        <v>0</v>
      </c>
      <c r="I124" s="89"/>
    </row>
    <row r="125" spans="1:9" x14ac:dyDescent="0.25">
      <c r="A125" s="88">
        <f t="shared" si="4"/>
        <v>4</v>
      </c>
      <c r="B125" s="88"/>
      <c r="C125" s="92">
        <f t="shared" si="3"/>
        <v>8.64</v>
      </c>
      <c r="D125" s="92">
        <f t="shared" si="3"/>
        <v>61.6</v>
      </c>
      <c r="E125" s="92">
        <f t="shared" si="3"/>
        <v>25.44</v>
      </c>
      <c r="F125" s="92">
        <f t="shared" si="3"/>
        <v>0.64</v>
      </c>
      <c r="G125" s="92">
        <f t="shared" si="3"/>
        <v>0.8</v>
      </c>
      <c r="H125" s="92">
        <f t="shared" si="3"/>
        <v>0</v>
      </c>
      <c r="I125" s="89"/>
    </row>
    <row r="126" spans="1:9" x14ac:dyDescent="0.25">
      <c r="A126" s="88">
        <f t="shared" si="4"/>
        <v>5</v>
      </c>
      <c r="B126" s="88"/>
      <c r="C126" s="92">
        <f t="shared" si="3"/>
        <v>87.72</v>
      </c>
      <c r="D126" s="92">
        <f t="shared" si="3"/>
        <v>454.08000000000004</v>
      </c>
      <c r="E126" s="92">
        <f t="shared" si="3"/>
        <v>170.28</v>
      </c>
      <c r="F126" s="92">
        <f t="shared" si="3"/>
        <v>2.58</v>
      </c>
      <c r="G126" s="92">
        <f t="shared" si="3"/>
        <v>12.9</v>
      </c>
      <c r="H126" s="92">
        <f t="shared" si="3"/>
        <v>6.45</v>
      </c>
      <c r="I126" s="89"/>
    </row>
    <row r="127" spans="1:9" x14ac:dyDescent="0.25">
      <c r="A127" s="88">
        <f t="shared" si="4"/>
        <v>6</v>
      </c>
      <c r="B127" s="88"/>
      <c r="C127" s="92">
        <f t="shared" si="3"/>
        <v>34.56</v>
      </c>
      <c r="D127" s="92">
        <f t="shared" si="3"/>
        <v>161.28</v>
      </c>
      <c r="E127" s="92">
        <f t="shared" si="3"/>
        <v>87.04</v>
      </c>
      <c r="F127" s="92">
        <f t="shared" si="3"/>
        <v>0.64</v>
      </c>
      <c r="G127" s="92">
        <f t="shared" si="3"/>
        <v>5.12</v>
      </c>
      <c r="H127" s="92">
        <f t="shared" si="3"/>
        <v>0.64</v>
      </c>
      <c r="I127" s="89"/>
    </row>
    <row r="128" spans="1:9" x14ac:dyDescent="0.25">
      <c r="A128" s="88">
        <f t="shared" si="4"/>
        <v>7</v>
      </c>
      <c r="B128" s="88"/>
      <c r="C128" s="92">
        <f t="shared" si="3"/>
        <v>90.399999999999991</v>
      </c>
      <c r="D128" s="92">
        <f t="shared" si="3"/>
        <v>636.18999999999994</v>
      </c>
      <c r="E128" s="92">
        <f t="shared" si="3"/>
        <v>284.76</v>
      </c>
      <c r="F128" s="92">
        <f t="shared" si="3"/>
        <v>7.9099999999999993</v>
      </c>
      <c r="G128" s="92">
        <f t="shared" si="3"/>
        <v>28.249999999999996</v>
      </c>
      <c r="H128" s="92">
        <f t="shared" si="3"/>
        <v>6.7799999999999994</v>
      </c>
      <c r="I128" s="89"/>
    </row>
    <row r="129" spans="1:9" x14ac:dyDescent="0.25">
      <c r="A129" s="88">
        <f t="shared" si="4"/>
        <v>8</v>
      </c>
      <c r="B129" s="88"/>
      <c r="C129" s="92">
        <f t="shared" si="3"/>
        <v>16.599999999999998</v>
      </c>
      <c r="D129" s="92">
        <f t="shared" si="3"/>
        <v>103.75</v>
      </c>
      <c r="E129" s="92">
        <f t="shared" si="3"/>
        <v>12.45</v>
      </c>
      <c r="F129" s="92">
        <f t="shared" si="3"/>
        <v>0.83</v>
      </c>
      <c r="G129" s="92">
        <f t="shared" si="3"/>
        <v>1.66</v>
      </c>
      <c r="H129" s="92">
        <f t="shared" si="3"/>
        <v>0.83</v>
      </c>
      <c r="I129" s="89"/>
    </row>
    <row r="130" spans="1:9" x14ac:dyDescent="0.25">
      <c r="A130" s="88">
        <f t="shared" si="4"/>
        <v>9</v>
      </c>
      <c r="B130" s="88"/>
      <c r="C130" s="92">
        <f t="shared" si="3"/>
        <v>58.050000000000004</v>
      </c>
      <c r="D130" s="92">
        <f t="shared" si="3"/>
        <v>497.94</v>
      </c>
      <c r="E130" s="92">
        <f t="shared" si="3"/>
        <v>183.18</v>
      </c>
      <c r="F130" s="92">
        <f t="shared" si="3"/>
        <v>10.32</v>
      </c>
      <c r="G130" s="92">
        <f t="shared" si="3"/>
        <v>10.32</v>
      </c>
      <c r="H130" s="92">
        <f t="shared" si="3"/>
        <v>1.29</v>
      </c>
      <c r="I130" s="89"/>
    </row>
    <row r="131" spans="1:9" x14ac:dyDescent="0.25">
      <c r="A131" s="88">
        <f t="shared" si="4"/>
        <v>10</v>
      </c>
      <c r="B131" s="88"/>
      <c r="C131" s="92">
        <f t="shared" si="3"/>
        <v>40.669999999999995</v>
      </c>
      <c r="D131" s="92">
        <f t="shared" si="3"/>
        <v>375.99</v>
      </c>
      <c r="E131" s="92">
        <f t="shared" si="3"/>
        <v>114.53999999999999</v>
      </c>
      <c r="F131" s="92">
        <f t="shared" si="3"/>
        <v>4.9799999999999995</v>
      </c>
      <c r="G131" s="92">
        <f t="shared" si="3"/>
        <v>5.81</v>
      </c>
      <c r="H131" s="92">
        <f t="shared" si="3"/>
        <v>0</v>
      </c>
      <c r="I131" s="89"/>
    </row>
    <row r="132" spans="1:9" x14ac:dyDescent="0.25">
      <c r="A132" s="88">
        <f t="shared" si="4"/>
        <v>11</v>
      </c>
      <c r="B132" s="88"/>
      <c r="C132" s="92">
        <f t="shared" si="3"/>
        <v>75.19</v>
      </c>
      <c r="D132" s="92">
        <f t="shared" si="3"/>
        <v>465.56</v>
      </c>
      <c r="E132" s="92">
        <f t="shared" si="3"/>
        <v>236.9</v>
      </c>
      <c r="F132" s="92">
        <f t="shared" si="3"/>
        <v>7.21</v>
      </c>
      <c r="G132" s="92">
        <f t="shared" si="3"/>
        <v>4.12</v>
      </c>
      <c r="H132" s="92">
        <f t="shared" si="3"/>
        <v>3.09</v>
      </c>
      <c r="I132" s="89"/>
    </row>
    <row r="133" spans="1:9" x14ac:dyDescent="0.25">
      <c r="A133" s="216" t="s">
        <v>263</v>
      </c>
      <c r="B133" s="88"/>
      <c r="C133" s="217"/>
      <c r="D133" s="217"/>
      <c r="E133" s="217"/>
      <c r="F133" s="217"/>
      <c r="G133" s="217"/>
      <c r="H133" s="217"/>
      <c r="I133" s="89"/>
    </row>
    <row r="134" spans="1:9" x14ac:dyDescent="0.25">
      <c r="A134" s="13"/>
      <c r="B134" s="20" t="s">
        <v>3</v>
      </c>
      <c r="C134" s="20">
        <f t="shared" ref="C134:H134" si="5">SUM(C122:C133)</f>
        <v>652.07999999999993</v>
      </c>
      <c r="D134" s="20">
        <f t="shared" si="5"/>
        <v>4414.2300000000005</v>
      </c>
      <c r="E134" s="20">
        <f t="shared" si="5"/>
        <v>2087.7600000000002</v>
      </c>
      <c r="F134" s="20">
        <f t="shared" si="5"/>
        <v>57.329999999999991</v>
      </c>
      <c r="G134" s="20">
        <f t="shared" si="5"/>
        <v>106.34</v>
      </c>
      <c r="H134" s="20">
        <f t="shared" si="5"/>
        <v>32.129999999999995</v>
      </c>
      <c r="I134" s="89"/>
    </row>
    <row r="135" spans="1:9" x14ac:dyDescent="0.25">
      <c r="A135" s="13"/>
      <c r="B135" s="20"/>
      <c r="C135" s="20"/>
      <c r="D135" s="20"/>
      <c r="E135" s="20"/>
      <c r="F135" s="20"/>
      <c r="G135" s="20"/>
      <c r="H135" s="20"/>
      <c r="I135" s="89"/>
    </row>
    <row r="136" spans="1:9" x14ac:dyDescent="0.25">
      <c r="I136" s="77"/>
    </row>
    <row r="137" spans="1:9" x14ac:dyDescent="0.25">
      <c r="A137" s="83">
        <v>2</v>
      </c>
      <c r="B137" s="568" t="s">
        <v>180</v>
      </c>
      <c r="C137" s="568"/>
      <c r="D137" s="568"/>
      <c r="E137" s="568"/>
      <c r="G137" s="566" t="s">
        <v>172</v>
      </c>
      <c r="H137" s="566"/>
      <c r="I137" s="566"/>
    </row>
    <row r="138" spans="1:9" x14ac:dyDescent="0.25">
      <c r="A138" s="97"/>
      <c r="B138" s="97"/>
      <c r="C138" s="72" t="s">
        <v>147</v>
      </c>
      <c r="D138" s="72" t="s">
        <v>148</v>
      </c>
      <c r="E138" s="72" t="s">
        <v>149</v>
      </c>
      <c r="F138" s="72" t="s">
        <v>150</v>
      </c>
      <c r="G138" s="72" t="s">
        <v>151</v>
      </c>
      <c r="H138" s="72" t="s">
        <v>152</v>
      </c>
      <c r="I138" s="183"/>
    </row>
    <row r="139" spans="1:9" x14ac:dyDescent="0.25">
      <c r="A139" t="s">
        <v>73</v>
      </c>
      <c r="B139" s="2" t="s">
        <v>165</v>
      </c>
      <c r="C139" s="75">
        <f>C134*$D42/100</f>
        <v>652.07999999999993</v>
      </c>
      <c r="D139" s="75">
        <f>D134*$D43/100</f>
        <v>4193.5185000000001</v>
      </c>
      <c r="E139" s="75">
        <f>E134*$D44/100</f>
        <v>1878.9840000000002</v>
      </c>
      <c r="F139" s="233"/>
      <c r="G139" s="75">
        <f>G134*$D46/100</f>
        <v>10.634</v>
      </c>
      <c r="H139" s="233"/>
      <c r="I139" s="77"/>
    </row>
    <row r="140" spans="1:9" x14ac:dyDescent="0.25">
      <c r="B140" s="2" t="s">
        <v>69</v>
      </c>
      <c r="C140" s="233"/>
      <c r="D140" s="233"/>
      <c r="E140" s="75">
        <f>E134*$E44/100</f>
        <v>208.77600000000001</v>
      </c>
      <c r="F140" s="75">
        <f>F134*$E45/100</f>
        <v>57.329999999999991</v>
      </c>
      <c r="G140" s="75">
        <f>G134*$E46/100</f>
        <v>95.706000000000003</v>
      </c>
      <c r="H140" s="75">
        <f>H134*$E47/100</f>
        <v>28.916999999999998</v>
      </c>
      <c r="I140" s="77"/>
    </row>
    <row r="141" spans="1:9" x14ac:dyDescent="0.25">
      <c r="B141" s="2" t="s">
        <v>70</v>
      </c>
      <c r="C141" s="233"/>
      <c r="D141" s="75">
        <f>D134*$F43/100</f>
        <v>220.7115</v>
      </c>
      <c r="E141" s="233"/>
      <c r="F141" s="233"/>
      <c r="G141" s="233"/>
      <c r="H141" s="75">
        <f>H134*$F47/100</f>
        <v>3.2129999999999996</v>
      </c>
      <c r="I141" s="77"/>
    </row>
    <row r="142" spans="1:9" x14ac:dyDescent="0.25">
      <c r="B142" s="16" t="s">
        <v>177</v>
      </c>
      <c r="C142" s="234">
        <f t="shared" ref="C142:H142" si="6">SUM(C139:C141)</f>
        <v>652.07999999999993</v>
      </c>
      <c r="D142" s="234">
        <f t="shared" si="6"/>
        <v>4414.2300000000005</v>
      </c>
      <c r="E142" s="234">
        <f t="shared" si="6"/>
        <v>2087.7600000000002</v>
      </c>
      <c r="F142" s="234">
        <f t="shared" si="6"/>
        <v>57.329999999999991</v>
      </c>
      <c r="G142" s="234">
        <f t="shared" si="6"/>
        <v>106.34</v>
      </c>
      <c r="H142" s="234">
        <f t="shared" si="6"/>
        <v>32.129999999999995</v>
      </c>
      <c r="I142" s="77"/>
    </row>
    <row r="143" spans="1:9" x14ac:dyDescent="0.25">
      <c r="I143" s="77"/>
    </row>
    <row r="144" spans="1:9" ht="48.75" customHeight="1" x14ac:dyDescent="0.25">
      <c r="A144" s="83">
        <v>3</v>
      </c>
      <c r="B144" s="565" t="s">
        <v>179</v>
      </c>
      <c r="C144" s="565"/>
      <c r="D144" s="565"/>
      <c r="E144" s="565"/>
      <c r="G144" s="566" t="s">
        <v>172</v>
      </c>
      <c r="H144" s="566"/>
      <c r="I144" s="566"/>
    </row>
    <row r="145" spans="1:9" ht="15" customHeight="1" x14ac:dyDescent="0.25">
      <c r="A145" s="97"/>
      <c r="B145" s="184"/>
      <c r="C145" s="72" t="s">
        <v>147</v>
      </c>
      <c r="D145" s="72" t="s">
        <v>148</v>
      </c>
      <c r="E145" s="72" t="s">
        <v>149</v>
      </c>
      <c r="F145" s="72" t="s">
        <v>150</v>
      </c>
      <c r="G145" s="72" t="s">
        <v>151</v>
      </c>
      <c r="H145" s="72" t="s">
        <v>152</v>
      </c>
      <c r="I145" s="183"/>
    </row>
    <row r="146" spans="1:9" ht="30.75" customHeight="1" x14ac:dyDescent="0.25">
      <c r="A146" s="97"/>
      <c r="B146" s="184"/>
      <c r="C146" s="201"/>
      <c r="D146" s="202" t="s">
        <v>206</v>
      </c>
      <c r="E146" s="72"/>
      <c r="F146" s="200"/>
      <c r="G146" s="72"/>
      <c r="H146" s="200"/>
      <c r="I146" s="183"/>
    </row>
    <row r="147" spans="1:9" ht="15" customHeight="1" x14ac:dyDescent="0.25">
      <c r="A147" s="97"/>
      <c r="B147" s="184"/>
      <c r="C147" s="201"/>
      <c r="D147" s="232">
        <f>D139*$D52/100</f>
        <v>209.67592499999998</v>
      </c>
      <c r="E147" s="72"/>
      <c r="F147" s="200"/>
      <c r="G147" s="72"/>
      <c r="H147" s="200"/>
      <c r="I147" s="183"/>
    </row>
    <row r="148" spans="1:9" ht="46.5" customHeight="1" x14ac:dyDescent="0.25">
      <c r="A148" s="97"/>
      <c r="B148" s="184"/>
      <c r="C148" s="201"/>
      <c r="D148" s="202" t="s">
        <v>223</v>
      </c>
      <c r="E148" s="72"/>
      <c r="F148" s="200"/>
      <c r="G148" s="72"/>
      <c r="H148" s="200"/>
      <c r="I148" s="183"/>
    </row>
    <row r="149" spans="1:9" ht="15" customHeight="1" x14ac:dyDescent="0.25">
      <c r="A149" s="97"/>
      <c r="B149" s="184"/>
      <c r="C149" s="201"/>
      <c r="D149" s="232">
        <f>D139*$F52/100</f>
        <v>209.67592499999998</v>
      </c>
      <c r="E149" s="72"/>
      <c r="F149" s="200"/>
      <c r="G149" s="72"/>
      <c r="H149" s="200"/>
      <c r="I149" s="183"/>
    </row>
    <row r="150" spans="1:9" ht="36.75" customHeight="1" x14ac:dyDescent="0.25">
      <c r="A150" s="97"/>
      <c r="B150" s="184"/>
      <c r="C150" s="202" t="s">
        <v>227</v>
      </c>
      <c r="D150" s="202" t="s">
        <v>224</v>
      </c>
      <c r="E150" s="72"/>
      <c r="F150" s="200"/>
      <c r="G150" s="72"/>
      <c r="H150" s="200"/>
      <c r="I150" s="183"/>
    </row>
    <row r="151" spans="1:9" ht="21" customHeight="1" x14ac:dyDescent="0.25">
      <c r="A151" s="97"/>
      <c r="B151" s="184"/>
      <c r="C151" s="231">
        <f>C139*$J51/100</f>
        <v>32.603999999999999</v>
      </c>
      <c r="D151" s="232">
        <f>D139*$G52/100</f>
        <v>419.35184999999996</v>
      </c>
      <c r="E151" s="72"/>
      <c r="F151" s="200"/>
      <c r="G151" s="72"/>
      <c r="H151" s="200"/>
      <c r="I151" s="183"/>
    </row>
    <row r="152" spans="1:9" ht="51" x14ac:dyDescent="0.25">
      <c r="A152" t="s">
        <v>178</v>
      </c>
      <c r="B152" t="s">
        <v>166</v>
      </c>
      <c r="C152" s="84" t="s">
        <v>167</v>
      </c>
      <c r="D152" s="85" t="s">
        <v>169</v>
      </c>
      <c r="E152" s="86" t="s">
        <v>171</v>
      </c>
      <c r="F152" s="94"/>
      <c r="G152" s="86" t="s">
        <v>171</v>
      </c>
      <c r="H152" s="94"/>
      <c r="I152" s="77"/>
    </row>
    <row r="153" spans="1:9" x14ac:dyDescent="0.25">
      <c r="C153" s="225">
        <f>C139*$K51/100</f>
        <v>130.416</v>
      </c>
      <c r="D153" s="228">
        <f>D139*$H52/100</f>
        <v>1258.05555</v>
      </c>
      <c r="E153" s="229">
        <f>E139*E53/100</f>
        <v>1878.9840000000002</v>
      </c>
      <c r="F153" s="230"/>
      <c r="G153" s="229">
        <f>G139*E55/100</f>
        <v>10.634</v>
      </c>
      <c r="H153" s="94"/>
      <c r="I153" s="77"/>
    </row>
    <row r="154" spans="1:9" ht="51" x14ac:dyDescent="0.25">
      <c r="C154" s="84" t="s">
        <v>168</v>
      </c>
      <c r="D154" s="85" t="s">
        <v>170</v>
      </c>
      <c r="E154" s="94"/>
      <c r="F154" s="94"/>
      <c r="G154" s="94"/>
      <c r="H154" s="94"/>
      <c r="I154" s="77"/>
    </row>
    <row r="155" spans="1:9" x14ac:dyDescent="0.25">
      <c r="C155" s="225">
        <f>C139*$L51/100</f>
        <v>489.05999999999995</v>
      </c>
      <c r="D155" s="226">
        <f>D139*$I52/100</f>
        <v>2096.7592500000001</v>
      </c>
      <c r="E155" s="94"/>
      <c r="F155" s="94"/>
      <c r="G155" s="94"/>
      <c r="H155" s="94"/>
      <c r="I155" s="77"/>
    </row>
    <row r="156" spans="1:9" s="1" customFormat="1" x14ac:dyDescent="0.25">
      <c r="A156" s="219" t="s">
        <v>264</v>
      </c>
      <c r="B156" s="219"/>
      <c r="C156" s="227">
        <f t="shared" ref="C156:H156" si="7">C147+C149+C151+C153+C155</f>
        <v>652.07999999999993</v>
      </c>
      <c r="D156" s="227">
        <f t="shared" si="7"/>
        <v>4193.5185000000001</v>
      </c>
      <c r="E156" s="227">
        <f t="shared" si="7"/>
        <v>1878.9840000000002</v>
      </c>
      <c r="F156" s="227">
        <f t="shared" si="7"/>
        <v>0</v>
      </c>
      <c r="G156" s="227">
        <f t="shared" si="7"/>
        <v>10.634</v>
      </c>
      <c r="H156" s="227">
        <f t="shared" si="7"/>
        <v>0</v>
      </c>
      <c r="I156" s="218"/>
    </row>
    <row r="157" spans="1:9" ht="26.25" x14ac:dyDescent="0.25">
      <c r="B157" t="s">
        <v>69</v>
      </c>
      <c r="C157" s="94"/>
      <c r="D157" s="94"/>
      <c r="E157" s="87" t="s">
        <v>171</v>
      </c>
      <c r="F157" s="87" t="s">
        <v>171</v>
      </c>
      <c r="G157" s="87" t="s">
        <v>171</v>
      </c>
      <c r="H157" s="87" t="s">
        <v>171</v>
      </c>
      <c r="I157" s="77"/>
    </row>
    <row r="158" spans="1:9" x14ac:dyDescent="0.25">
      <c r="C158" s="94"/>
      <c r="D158" s="94"/>
      <c r="E158" s="223">
        <f>E140*$D61/100</f>
        <v>208.77600000000001</v>
      </c>
      <c r="F158" s="223">
        <f>F140*$D62/100</f>
        <v>57.329999999999991</v>
      </c>
      <c r="G158" s="223">
        <f>G140*$D63/100</f>
        <v>95.706000000000003</v>
      </c>
      <c r="H158" s="223">
        <f>H140*$D64/100</f>
        <v>28.916999999999998</v>
      </c>
      <c r="I158" s="77"/>
    </row>
    <row r="159" spans="1:9" x14ac:dyDescent="0.25">
      <c r="A159" s="219" t="s">
        <v>265</v>
      </c>
      <c r="B159" s="219"/>
      <c r="C159" s="220"/>
      <c r="D159" s="220"/>
      <c r="E159" s="222">
        <f>E158</f>
        <v>208.77600000000001</v>
      </c>
      <c r="F159" s="222">
        <f>F158</f>
        <v>57.329999999999991</v>
      </c>
      <c r="G159" s="222">
        <f>G158</f>
        <v>95.706000000000003</v>
      </c>
      <c r="H159" s="222">
        <f>H158</f>
        <v>28.916999999999998</v>
      </c>
      <c r="I159" s="77"/>
    </row>
    <row r="160" spans="1:9" ht="26.25" x14ac:dyDescent="0.25">
      <c r="B160" t="s">
        <v>70</v>
      </c>
      <c r="C160" s="112"/>
      <c r="D160" s="87" t="s">
        <v>206</v>
      </c>
      <c r="E160" s="112"/>
      <c r="F160" s="112"/>
      <c r="G160" s="112"/>
      <c r="H160" s="112"/>
      <c r="I160" s="77"/>
    </row>
    <row r="161" spans="1:9" x14ac:dyDescent="0.25">
      <c r="C161" s="112"/>
      <c r="D161" s="223">
        <f>D141*$D69/100</f>
        <v>110.35575</v>
      </c>
      <c r="E161" s="112"/>
      <c r="F161" s="112"/>
      <c r="G161" s="112"/>
      <c r="H161" s="112"/>
      <c r="I161" s="77"/>
    </row>
    <row r="162" spans="1:9" ht="26.25" x14ac:dyDescent="0.25">
      <c r="C162" s="112"/>
      <c r="D162" s="87" t="s">
        <v>207</v>
      </c>
      <c r="E162" s="112"/>
      <c r="F162" s="112"/>
      <c r="G162" s="112"/>
      <c r="H162" s="112"/>
      <c r="I162" s="77"/>
    </row>
    <row r="163" spans="1:9" x14ac:dyDescent="0.25">
      <c r="C163" s="112"/>
      <c r="D163" s="224">
        <f>D141*$E69/100</f>
        <v>110.35575</v>
      </c>
      <c r="E163" s="112"/>
      <c r="F163" s="112"/>
      <c r="G163" s="112"/>
      <c r="H163" s="112"/>
      <c r="I163" s="77"/>
    </row>
    <row r="164" spans="1:9" ht="64.5" x14ac:dyDescent="0.25">
      <c r="C164" s="112"/>
      <c r="D164" s="209"/>
      <c r="E164" s="112"/>
      <c r="F164" s="112"/>
      <c r="G164" s="112"/>
      <c r="H164" s="87" t="s">
        <v>235</v>
      </c>
      <c r="I164" s="77"/>
    </row>
    <row r="165" spans="1:9" x14ac:dyDescent="0.25">
      <c r="C165" s="112"/>
      <c r="D165" s="209"/>
      <c r="E165" s="112"/>
      <c r="F165" s="112"/>
      <c r="G165" s="112"/>
      <c r="H165" s="223">
        <f>H141*$F73/100</f>
        <v>1.6064999999999998</v>
      </c>
      <c r="I165" s="77"/>
    </row>
    <row r="166" spans="1:9" ht="64.5" x14ac:dyDescent="0.25">
      <c r="C166" s="112"/>
      <c r="D166" s="209"/>
      <c r="E166" s="112"/>
      <c r="F166" s="112"/>
      <c r="G166" s="112"/>
      <c r="H166" s="87" t="s">
        <v>236</v>
      </c>
      <c r="I166" s="77"/>
    </row>
    <row r="167" spans="1:9" x14ac:dyDescent="0.25">
      <c r="C167" s="112"/>
      <c r="D167" s="209"/>
      <c r="E167" s="112"/>
      <c r="F167" s="112"/>
      <c r="G167" s="112"/>
      <c r="H167" s="223">
        <f>H141*$G73/100</f>
        <v>1.2851999999999999</v>
      </c>
      <c r="I167" s="77"/>
    </row>
    <row r="168" spans="1:9" ht="51.75" x14ac:dyDescent="0.25">
      <c r="C168" s="112"/>
      <c r="D168" s="209"/>
      <c r="E168" s="112"/>
      <c r="F168" s="112"/>
      <c r="G168" s="112"/>
      <c r="H168" s="87" t="s">
        <v>237</v>
      </c>
      <c r="I168" s="77"/>
    </row>
    <row r="169" spans="1:9" x14ac:dyDescent="0.25">
      <c r="C169" s="112"/>
      <c r="D169" s="209"/>
      <c r="E169" s="112"/>
      <c r="F169" s="112"/>
      <c r="G169" s="112"/>
      <c r="H169" s="223">
        <f>H141*$H73/100</f>
        <v>0</v>
      </c>
      <c r="I169" s="77"/>
    </row>
    <row r="170" spans="1:9" ht="51.75" x14ac:dyDescent="0.25">
      <c r="C170" s="112"/>
      <c r="D170" s="209"/>
      <c r="E170" s="112"/>
      <c r="F170" s="112"/>
      <c r="G170" s="112"/>
      <c r="H170" s="87" t="s">
        <v>238</v>
      </c>
      <c r="I170" s="77"/>
    </row>
    <row r="171" spans="1:9" x14ac:dyDescent="0.25">
      <c r="C171" s="112"/>
      <c r="D171" s="209"/>
      <c r="E171" s="112"/>
      <c r="F171" s="112"/>
      <c r="G171" s="112"/>
      <c r="H171" s="223">
        <f>H141*$I73/100</f>
        <v>0.32129999999999997</v>
      </c>
      <c r="I171" s="77"/>
    </row>
    <row r="172" spans="1:9" s="1" customFormat="1" x14ac:dyDescent="0.25">
      <c r="A172" s="219" t="s">
        <v>266</v>
      </c>
      <c r="B172" s="219"/>
      <c r="C172" s="222"/>
      <c r="D172" s="221">
        <f>D161+D163</f>
        <v>220.7115</v>
      </c>
      <c r="E172" s="222">
        <f>E171</f>
        <v>0</v>
      </c>
      <c r="F172" s="222">
        <f>F171</f>
        <v>0</v>
      </c>
      <c r="G172" s="222">
        <f>G171</f>
        <v>0</v>
      </c>
      <c r="H172" s="222">
        <f>H165+H167+H169+H171</f>
        <v>3.2129999999999996</v>
      </c>
      <c r="I172" s="218"/>
    </row>
    <row r="173" spans="1:9" ht="34.5" customHeight="1" x14ac:dyDescent="0.25">
      <c r="A173" s="83">
        <v>4</v>
      </c>
      <c r="B173" s="565" t="s">
        <v>181</v>
      </c>
      <c r="C173" s="565"/>
      <c r="D173" s="565"/>
      <c r="E173" s="565"/>
      <c r="I173" s="77"/>
    </row>
    <row r="174" spans="1:9" x14ac:dyDescent="0.25">
      <c r="A174" s="83"/>
      <c r="B174" s="184"/>
      <c r="C174" s="72" t="s">
        <v>147</v>
      </c>
      <c r="D174" s="72" t="s">
        <v>148</v>
      </c>
      <c r="E174" s="72" t="s">
        <v>149</v>
      </c>
      <c r="F174" s="72" t="s">
        <v>150</v>
      </c>
      <c r="G174" s="72" t="s">
        <v>151</v>
      </c>
      <c r="H174" s="72" t="s">
        <v>152</v>
      </c>
      <c r="I174" s="77"/>
    </row>
    <row r="175" spans="1:9" ht="25.5" x14ac:dyDescent="0.25">
      <c r="A175" s="97"/>
      <c r="B175" s="184"/>
      <c r="C175" s="201"/>
      <c r="D175" s="202" t="s">
        <v>206</v>
      </c>
      <c r="E175" s="201"/>
      <c r="F175" s="203"/>
      <c r="G175" s="201"/>
      <c r="H175" s="203"/>
      <c r="I175" s="77"/>
    </row>
    <row r="176" spans="1:9" x14ac:dyDescent="0.25">
      <c r="A176" s="97"/>
      <c r="B176" s="184"/>
      <c r="C176" s="201"/>
      <c r="D176" s="232">
        <f>D147*$E$21</f>
        <v>57241.52752499999</v>
      </c>
      <c r="E176" s="201"/>
      <c r="F176" s="203"/>
      <c r="G176" s="201"/>
      <c r="H176" s="203"/>
      <c r="I176" s="77"/>
    </row>
    <row r="177" spans="1:9" ht="38.25" x14ac:dyDescent="0.25">
      <c r="A177" s="97"/>
      <c r="B177" s="184"/>
      <c r="C177" s="201"/>
      <c r="D177" s="202" t="s">
        <v>223</v>
      </c>
      <c r="E177" s="201"/>
      <c r="F177" s="203"/>
      <c r="G177" s="201"/>
      <c r="H177" s="203"/>
      <c r="I177" s="77"/>
    </row>
    <row r="178" spans="1:9" x14ac:dyDescent="0.25">
      <c r="A178" s="97"/>
      <c r="B178" s="184"/>
      <c r="C178" s="201"/>
      <c r="D178" s="232">
        <f>D149*$E$22</f>
        <v>47806.110899999992</v>
      </c>
      <c r="E178" s="201"/>
      <c r="F178" s="203"/>
      <c r="G178" s="201"/>
      <c r="H178" s="203"/>
      <c r="I178" s="77"/>
    </row>
    <row r="179" spans="1:9" ht="38.25" x14ac:dyDescent="0.25">
      <c r="A179" s="97"/>
      <c r="B179" s="184"/>
      <c r="C179" s="202" t="s">
        <v>227</v>
      </c>
      <c r="D179" s="202" t="s">
        <v>224</v>
      </c>
      <c r="E179" s="201"/>
      <c r="F179" s="203"/>
      <c r="G179" s="201"/>
      <c r="H179" s="203"/>
      <c r="I179" s="77"/>
    </row>
    <row r="180" spans="1:9" x14ac:dyDescent="0.25">
      <c r="A180" s="97"/>
      <c r="B180" s="184"/>
      <c r="C180" s="232">
        <f>C151*$E$18</f>
        <v>1936.6776</v>
      </c>
      <c r="D180" s="232">
        <f>D151*$E$23</f>
        <v>85128.425549999985</v>
      </c>
      <c r="E180" s="201"/>
      <c r="F180" s="203"/>
      <c r="G180" s="201"/>
      <c r="H180" s="203"/>
      <c r="I180" s="77"/>
    </row>
    <row r="181" spans="1:9" ht="51" x14ac:dyDescent="0.25">
      <c r="A181" t="s">
        <v>178</v>
      </c>
      <c r="B181" t="s">
        <v>166</v>
      </c>
      <c r="C181" s="84" t="s">
        <v>167</v>
      </c>
      <c r="D181" s="85" t="s">
        <v>169</v>
      </c>
      <c r="E181" s="86" t="s">
        <v>171</v>
      </c>
      <c r="F181" s="94"/>
      <c r="G181" s="86" t="s">
        <v>171</v>
      </c>
      <c r="H181" s="94"/>
      <c r="I181" s="77"/>
    </row>
    <row r="182" spans="1:9" x14ac:dyDescent="0.25">
      <c r="C182" s="225">
        <f>C153*$E$19</f>
        <v>12885.1008</v>
      </c>
      <c r="D182" s="240">
        <f>D153*$E$24</f>
        <v>242804.72115</v>
      </c>
      <c r="E182" s="241">
        <f>E153*$E$28</f>
        <v>618185.73600000003</v>
      </c>
      <c r="F182" s="94"/>
      <c r="G182" s="229">
        <f>G153*$E$31</f>
        <v>3498.5860000000002</v>
      </c>
      <c r="H182" s="94"/>
      <c r="I182" s="77"/>
    </row>
    <row r="183" spans="1:9" ht="51" x14ac:dyDescent="0.25">
      <c r="C183" s="84" t="s">
        <v>168</v>
      </c>
      <c r="D183" s="85" t="s">
        <v>170</v>
      </c>
      <c r="E183" s="94"/>
      <c r="F183" s="94"/>
      <c r="G183" s="94"/>
      <c r="H183" s="94"/>
      <c r="I183" s="77"/>
    </row>
    <row r="184" spans="1:9" ht="15.75" thickBot="1" x14ac:dyDescent="0.3">
      <c r="C184" s="235">
        <f>C155*$E$20</f>
        <v>61132.499999999993</v>
      </c>
      <c r="D184" s="242">
        <f>D155*$E$25</f>
        <v>463383.79425000004</v>
      </c>
      <c r="E184" s="94"/>
      <c r="F184" s="94"/>
      <c r="G184" s="94"/>
      <c r="H184" s="94"/>
      <c r="I184" s="77"/>
    </row>
    <row r="185" spans="1:9" ht="39.75" thickBot="1" x14ac:dyDescent="0.3">
      <c r="B185" s="122" t="s">
        <v>197</v>
      </c>
      <c r="C185" s="236">
        <f>C180+C182+C184</f>
        <v>75954.278399999996</v>
      </c>
      <c r="D185" s="237">
        <f>D176+D178+D180+D182+D184</f>
        <v>896364.57937499997</v>
      </c>
      <c r="E185" s="238">
        <f>E182</f>
        <v>618185.73600000003</v>
      </c>
      <c r="F185" s="238"/>
      <c r="G185" s="238">
        <f>G182</f>
        <v>3498.5860000000002</v>
      </c>
      <c r="H185" s="239"/>
      <c r="I185" s="77"/>
    </row>
    <row r="186" spans="1:9" ht="26.25" x14ac:dyDescent="0.25">
      <c r="B186" t="s">
        <v>69</v>
      </c>
      <c r="C186" s="94"/>
      <c r="D186" s="94"/>
      <c r="E186" s="117" t="s">
        <v>171</v>
      </c>
      <c r="F186" s="117" t="s">
        <v>171</v>
      </c>
      <c r="G186" s="117" t="s">
        <v>171</v>
      </c>
      <c r="H186" s="117" t="s">
        <v>171</v>
      </c>
      <c r="I186" s="77"/>
    </row>
    <row r="187" spans="1:9" ht="15.75" thickBot="1" x14ac:dyDescent="0.3">
      <c r="C187" s="94"/>
      <c r="D187" s="94"/>
      <c r="E187" s="118">
        <f>E158*$E$29</f>
        <v>59709.936000000002</v>
      </c>
      <c r="F187" s="118">
        <f>F158*$E$30</f>
        <v>44774.729999999996</v>
      </c>
      <c r="G187" s="118">
        <f>G158*$E$32</f>
        <v>27371.916000000001</v>
      </c>
      <c r="H187" s="118">
        <f>H158*$E$33</f>
        <v>22584.177</v>
      </c>
      <c r="I187" s="77"/>
    </row>
    <row r="188" spans="1:9" ht="39.75" thickBot="1" x14ac:dyDescent="0.3">
      <c r="B188" s="122" t="s">
        <v>198</v>
      </c>
      <c r="C188" s="205"/>
      <c r="D188" s="206"/>
      <c r="E188" s="128">
        <f>E187</f>
        <v>59709.936000000002</v>
      </c>
      <c r="F188" s="128">
        <f>F187</f>
        <v>44774.729999999996</v>
      </c>
      <c r="G188" s="128">
        <f>G187</f>
        <v>27371.916000000001</v>
      </c>
      <c r="H188" s="129">
        <f>H187</f>
        <v>22584.177</v>
      </c>
      <c r="I188" s="77"/>
    </row>
    <row r="189" spans="1:9" ht="26.25" x14ac:dyDescent="0.25">
      <c r="B189" t="s">
        <v>70</v>
      </c>
      <c r="C189" s="112"/>
      <c r="D189" s="117" t="s">
        <v>206</v>
      </c>
      <c r="E189" s="112"/>
      <c r="F189" s="112"/>
      <c r="G189" s="112"/>
      <c r="H189" s="112"/>
      <c r="I189" s="77"/>
    </row>
    <row r="190" spans="1:9" x14ac:dyDescent="0.25">
      <c r="C190" s="112"/>
      <c r="D190" s="114">
        <f>D161*$E$26</f>
        <v>41824.829250000003</v>
      </c>
      <c r="E190" s="112"/>
      <c r="F190" s="112"/>
      <c r="G190" s="112"/>
      <c r="H190" s="112"/>
      <c r="I190" s="77"/>
    </row>
    <row r="191" spans="1:9" ht="26.25" x14ac:dyDescent="0.25">
      <c r="C191" s="112"/>
      <c r="D191" s="87" t="s">
        <v>207</v>
      </c>
      <c r="E191" s="112"/>
      <c r="F191" s="112"/>
      <c r="G191" s="112"/>
      <c r="H191" s="112"/>
      <c r="I191" s="77"/>
    </row>
    <row r="192" spans="1:9" x14ac:dyDescent="0.25">
      <c r="C192" s="112"/>
      <c r="D192" s="121">
        <f>D163*$E$27</f>
        <v>16332.651</v>
      </c>
      <c r="E192" s="112"/>
      <c r="F192" s="112"/>
      <c r="G192" s="112"/>
      <c r="H192" s="112"/>
      <c r="I192" s="77"/>
    </row>
    <row r="193" spans="1:9" ht="64.5" x14ac:dyDescent="0.25">
      <c r="C193" s="112"/>
      <c r="D193" s="112"/>
      <c r="E193" s="112"/>
      <c r="F193" s="112"/>
      <c r="G193" s="112"/>
      <c r="H193" s="87" t="s">
        <v>235</v>
      </c>
      <c r="I193" s="77"/>
    </row>
    <row r="194" spans="1:9" x14ac:dyDescent="0.25">
      <c r="C194" s="112"/>
      <c r="D194" s="112"/>
      <c r="E194" s="112"/>
      <c r="F194" s="112"/>
      <c r="G194" s="112"/>
      <c r="H194" s="223">
        <f>H165*$E$34</f>
        <v>1783.2149999999997</v>
      </c>
      <c r="I194" s="77"/>
    </row>
    <row r="195" spans="1:9" ht="64.5" x14ac:dyDescent="0.25">
      <c r="C195" s="112"/>
      <c r="D195" s="112"/>
      <c r="E195" s="112"/>
      <c r="F195" s="112"/>
      <c r="G195" s="112"/>
      <c r="H195" s="87" t="s">
        <v>236</v>
      </c>
      <c r="I195" s="77"/>
    </row>
    <row r="196" spans="1:9" x14ac:dyDescent="0.25">
      <c r="C196" s="112"/>
      <c r="D196" s="112"/>
      <c r="E196" s="112"/>
      <c r="F196" s="112"/>
      <c r="G196" s="112"/>
      <c r="H196" s="223">
        <f>H167*$E$35</f>
        <v>787.82759999999996</v>
      </c>
      <c r="I196" s="77"/>
    </row>
    <row r="197" spans="1:9" ht="51.75" x14ac:dyDescent="0.25">
      <c r="C197" s="112"/>
      <c r="D197" s="112"/>
      <c r="E197" s="112"/>
      <c r="F197" s="112"/>
      <c r="G197" s="112"/>
      <c r="H197" s="87" t="s">
        <v>237</v>
      </c>
      <c r="I197" s="77"/>
    </row>
    <row r="198" spans="1:9" x14ac:dyDescent="0.25">
      <c r="C198" s="112"/>
      <c r="D198" s="112"/>
      <c r="E198" s="112"/>
      <c r="F198" s="112"/>
      <c r="G198" s="112"/>
      <c r="H198" s="223">
        <f>H169*$E$36</f>
        <v>0</v>
      </c>
      <c r="I198" s="77"/>
    </row>
    <row r="199" spans="1:9" ht="51.75" x14ac:dyDescent="0.25">
      <c r="C199" s="112"/>
      <c r="D199" s="112"/>
      <c r="E199" s="112"/>
      <c r="F199" s="112"/>
      <c r="G199" s="112"/>
      <c r="H199" s="87" t="s">
        <v>238</v>
      </c>
      <c r="I199" s="77"/>
    </row>
    <row r="200" spans="1:9" ht="15.75" thickBot="1" x14ac:dyDescent="0.3">
      <c r="C200" s="112"/>
      <c r="D200" s="112"/>
      <c r="E200" s="112"/>
      <c r="F200" s="112"/>
      <c r="G200" s="112"/>
      <c r="H200" s="223">
        <f>H171*$E$37</f>
        <v>292.06169999999997</v>
      </c>
      <c r="I200" s="77"/>
    </row>
    <row r="201" spans="1:9" ht="39.75" thickBot="1" x14ac:dyDescent="0.3">
      <c r="B201" s="122" t="s">
        <v>210</v>
      </c>
      <c r="C201" s="207"/>
      <c r="D201" s="208">
        <f>D190+D192</f>
        <v>58157.480250000001</v>
      </c>
      <c r="E201" s="208"/>
      <c r="F201" s="208"/>
      <c r="G201" s="208"/>
      <c r="H201" s="243">
        <f>H194+H196+H198+H200</f>
        <v>2863.1043</v>
      </c>
      <c r="I201" s="77"/>
    </row>
    <row r="202" spans="1:9" ht="15.75" thickBot="1" x14ac:dyDescent="0.3">
      <c r="A202" s="101"/>
      <c r="B202" s="101"/>
      <c r="C202" s="101"/>
      <c r="D202" s="101"/>
      <c r="E202" s="101"/>
      <c r="F202" s="101"/>
      <c r="G202" s="101"/>
      <c r="H202" s="101"/>
      <c r="I202" s="105"/>
    </row>
    <row r="203" spans="1:9" ht="15" customHeight="1" x14ac:dyDescent="0.25">
      <c r="A203" s="153"/>
      <c r="B203" s="153"/>
      <c r="C203" s="153"/>
      <c r="D203" s="153"/>
      <c r="E203" s="153"/>
      <c r="F203" s="153"/>
      <c r="G203" s="153"/>
      <c r="H203" s="153"/>
      <c r="I203" s="154"/>
    </row>
    <row r="204" spans="1:9" ht="15" customHeight="1" x14ac:dyDescent="0.25">
      <c r="I204" s="77"/>
    </row>
    <row r="205" spans="1:9" x14ac:dyDescent="0.25">
      <c r="I205" s="77"/>
    </row>
    <row r="227" ht="15" customHeight="1" x14ac:dyDescent="0.25"/>
  </sheetData>
  <protectedRanges>
    <protectedRange sqref="D42 D43:F43 D44:E44 E45 D46:E46 D47:F47" name="Vehicle Fleet Characteristics_1"/>
  </protectedRanges>
  <mergeCells count="57">
    <mergeCell ref="B144:E144"/>
    <mergeCell ref="G144:I144"/>
    <mergeCell ref="B173:E173"/>
    <mergeCell ref="B119:E119"/>
    <mergeCell ref="A120:A121"/>
    <mergeCell ref="B120:B121"/>
    <mergeCell ref="C121:H121"/>
    <mergeCell ref="B137:E137"/>
    <mergeCell ref="G137:I137"/>
    <mergeCell ref="A109:C109"/>
    <mergeCell ref="D109:F109"/>
    <mergeCell ref="G109:I109"/>
    <mergeCell ref="A110:C110"/>
    <mergeCell ref="D110:F110"/>
    <mergeCell ref="G110:I110"/>
    <mergeCell ref="A106:C108"/>
    <mergeCell ref="D106:F108"/>
    <mergeCell ref="G106:I108"/>
    <mergeCell ref="C16:D16"/>
    <mergeCell ref="F16:G16"/>
    <mergeCell ref="H16:I16"/>
    <mergeCell ref="C17:D17"/>
    <mergeCell ref="F17:G17"/>
    <mergeCell ref="H17:I17"/>
    <mergeCell ref="B77:E77"/>
    <mergeCell ref="A99:F99"/>
    <mergeCell ref="A105:C105"/>
    <mergeCell ref="D105:F105"/>
    <mergeCell ref="G105:I105"/>
    <mergeCell ref="C14:D14"/>
    <mergeCell ref="F14:G14"/>
    <mergeCell ref="H14:I14"/>
    <mergeCell ref="C15:D15"/>
    <mergeCell ref="F15:G15"/>
    <mergeCell ref="H15:I15"/>
    <mergeCell ref="C13:D13"/>
    <mergeCell ref="F13:G13"/>
    <mergeCell ref="H13:I13"/>
    <mergeCell ref="A6:C6"/>
    <mergeCell ref="D6:I6"/>
    <mergeCell ref="A7:C7"/>
    <mergeCell ref="D7:I7"/>
    <mergeCell ref="A9:B9"/>
    <mergeCell ref="E9:F9"/>
    <mergeCell ref="G9:I9"/>
    <mergeCell ref="A10:B10"/>
    <mergeCell ref="C10:I10"/>
    <mergeCell ref="C12:D12"/>
    <mergeCell ref="F12:G12"/>
    <mergeCell ref="H12:I12"/>
    <mergeCell ref="A5:C5"/>
    <mergeCell ref="D5:I5"/>
    <mergeCell ref="A1:I1"/>
    <mergeCell ref="A3:C3"/>
    <mergeCell ref="D3:I3"/>
    <mergeCell ref="A4:C4"/>
    <mergeCell ref="D4:I4"/>
  </mergeCells>
  <pageMargins left="0.7" right="0.7" top="0.75" bottom="0.75" header="0.3" footer="0.3"/>
  <pageSetup paperSize="9" scale="78" orientation="portrait" r:id="rId1"/>
  <headerFooter>
    <oddHeader>&amp;LMALAYSIAN GREEN TECHNOLOGY CORPORATION
LOW CARBON CITIES&amp;RMGTC/DC/REC/LCC-003
Version: 1.1 / DEC 2020</oddHeader>
    <oddFooter>&amp;L
&amp;A&amp;R
Page &amp;P of &amp;N</oddFooter>
  </headerFooter>
  <rowBreaks count="1" manualBreakCount="1">
    <brk id="111"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B1CF2-FE9B-428D-8D66-3C0F08AB8559}">
  <sheetPr codeName="Sheet2"/>
  <dimension ref="A1:R29"/>
  <sheetViews>
    <sheetView topLeftCell="A7" zoomScale="85" zoomScaleNormal="85" workbookViewId="0">
      <selection activeCell="E22" sqref="E22"/>
    </sheetView>
  </sheetViews>
  <sheetFormatPr defaultRowHeight="15" x14ac:dyDescent="0.25"/>
  <cols>
    <col min="1" max="3" width="9.7109375" customWidth="1"/>
    <col min="4" max="17" width="11.85546875" customWidth="1"/>
  </cols>
  <sheetData>
    <row r="1" spans="1:13" ht="19.5" customHeight="1" thickBot="1" x14ac:dyDescent="0.3">
      <c r="A1" s="473"/>
      <c r="B1" s="473"/>
      <c r="C1" s="479" t="s">
        <v>88</v>
      </c>
      <c r="D1" s="479"/>
      <c r="E1" s="479"/>
      <c r="F1" s="479"/>
      <c r="G1" s="21" t="s">
        <v>85</v>
      </c>
      <c r="H1" s="473" t="s">
        <v>89</v>
      </c>
      <c r="I1" s="473"/>
    </row>
    <row r="2" spans="1:13" ht="19.5" customHeight="1" thickBot="1" x14ac:dyDescent="0.3">
      <c r="A2" s="473"/>
      <c r="B2" s="473"/>
      <c r="C2" s="479"/>
      <c r="D2" s="479"/>
      <c r="E2" s="479"/>
      <c r="F2" s="479"/>
      <c r="G2" s="21" t="s">
        <v>86</v>
      </c>
      <c r="H2" s="473">
        <v>0</v>
      </c>
      <c r="I2" s="473"/>
    </row>
    <row r="3" spans="1:13" ht="19.5" customHeight="1" thickBot="1" x14ac:dyDescent="0.3">
      <c r="A3" s="473"/>
      <c r="B3" s="473"/>
      <c r="C3" s="479"/>
      <c r="D3" s="479"/>
      <c r="E3" s="479"/>
      <c r="F3" s="479"/>
      <c r="G3" s="21" t="s">
        <v>87</v>
      </c>
      <c r="H3" s="478">
        <v>43252</v>
      </c>
      <c r="I3" s="478"/>
    </row>
    <row r="4" spans="1:13" ht="15.75" thickBot="1" x14ac:dyDescent="0.3"/>
    <row r="5" spans="1:13" ht="16.5" thickBot="1" x14ac:dyDescent="0.3">
      <c r="A5" s="475" t="s">
        <v>67</v>
      </c>
      <c r="B5" s="476"/>
      <c r="C5" s="476"/>
      <c r="D5" s="476"/>
      <c r="E5" s="476"/>
      <c r="F5" s="476"/>
      <c r="G5" s="476"/>
      <c r="H5" s="476"/>
      <c r="I5" s="477"/>
    </row>
    <row r="6" spans="1:13" x14ac:dyDescent="0.25">
      <c r="A6" s="468" t="s">
        <v>77</v>
      </c>
      <c r="B6" s="468"/>
      <c r="C6" s="468"/>
      <c r="D6" s="468"/>
      <c r="E6" s="468"/>
      <c r="F6" s="468"/>
      <c r="G6" s="468"/>
      <c r="H6" s="468"/>
      <c r="I6" s="468"/>
    </row>
    <row r="7" spans="1:13" x14ac:dyDescent="0.25">
      <c r="A7" s="469"/>
      <c r="B7" s="469"/>
      <c r="C7" s="469"/>
      <c r="D7" s="469"/>
      <c r="E7" s="469"/>
      <c r="F7" s="469"/>
      <c r="G7" s="469"/>
      <c r="H7" s="469"/>
      <c r="I7" s="469"/>
    </row>
    <row r="8" spans="1:13" x14ac:dyDescent="0.25">
      <c r="A8" s="469"/>
      <c r="B8" s="469"/>
      <c r="C8" s="469"/>
      <c r="D8" s="469"/>
      <c r="E8" s="469"/>
      <c r="F8" s="469"/>
      <c r="G8" s="469"/>
      <c r="H8" s="469"/>
      <c r="I8" s="469"/>
    </row>
    <row r="9" spans="1:13" x14ac:dyDescent="0.25">
      <c r="A9" s="469"/>
      <c r="B9" s="469"/>
      <c r="C9" s="469"/>
      <c r="D9" s="469"/>
      <c r="E9" s="469"/>
      <c r="F9" s="469"/>
      <c r="G9" s="469"/>
      <c r="H9" s="469"/>
      <c r="I9" s="469"/>
      <c r="L9" s="51"/>
    </row>
    <row r="10" spans="1:13" x14ac:dyDescent="0.25">
      <c r="A10" s="469"/>
      <c r="B10" s="469"/>
      <c r="C10" s="469"/>
      <c r="D10" s="469"/>
      <c r="E10" s="469"/>
      <c r="F10" s="469"/>
      <c r="G10" s="469"/>
      <c r="H10" s="469"/>
      <c r="I10" s="469"/>
    </row>
    <row r="12" spans="1:13" x14ac:dyDescent="0.25">
      <c r="A12" s="470" t="s">
        <v>27</v>
      </c>
      <c r="B12" s="470"/>
      <c r="C12" s="470"/>
      <c r="D12" s="474" t="s">
        <v>83</v>
      </c>
      <c r="E12" s="474"/>
      <c r="F12" s="474"/>
      <c r="G12" s="474"/>
      <c r="H12" s="474"/>
      <c r="I12" s="474"/>
    </row>
    <row r="13" spans="1:13" x14ac:dyDescent="0.25">
      <c r="A13" s="470" t="s">
        <v>78</v>
      </c>
      <c r="B13" s="470"/>
      <c r="C13" s="470"/>
      <c r="D13" s="474" t="s">
        <v>84</v>
      </c>
      <c r="E13" s="474"/>
      <c r="F13" s="474"/>
      <c r="G13" s="474"/>
      <c r="H13" s="474"/>
      <c r="I13" s="474"/>
      <c r="K13" t="s">
        <v>98</v>
      </c>
      <c r="M13">
        <v>30000</v>
      </c>
    </row>
    <row r="14" spans="1:13" x14ac:dyDescent="0.25">
      <c r="A14" s="470" t="s">
        <v>0</v>
      </c>
      <c r="B14" s="470"/>
      <c r="C14" s="470"/>
      <c r="D14" s="474"/>
      <c r="E14" s="474"/>
      <c r="F14" s="474"/>
      <c r="G14" s="474"/>
      <c r="H14" s="474"/>
      <c r="I14" s="474"/>
      <c r="K14" t="s">
        <v>99</v>
      </c>
      <c r="M14">
        <v>50000</v>
      </c>
    </row>
    <row r="15" spans="1:13" x14ac:dyDescent="0.25">
      <c r="A15" s="470" t="s">
        <v>37</v>
      </c>
      <c r="B15" s="470"/>
      <c r="C15" s="470"/>
      <c r="D15" s="474"/>
      <c r="E15" s="474"/>
      <c r="F15" s="474"/>
      <c r="G15" s="474"/>
      <c r="H15" s="474"/>
      <c r="I15" s="474"/>
      <c r="K15" t="s">
        <v>102</v>
      </c>
      <c r="M15">
        <f>((M14-M13)/M13)</f>
        <v>0.66666666666666663</v>
      </c>
    </row>
    <row r="16" spans="1:13" x14ac:dyDescent="0.25">
      <c r="A16" s="470" t="s">
        <v>29</v>
      </c>
      <c r="B16" s="470"/>
      <c r="C16" s="470"/>
      <c r="D16" s="474"/>
      <c r="E16" s="474"/>
      <c r="F16" s="474"/>
      <c r="G16" s="474"/>
      <c r="H16" s="474"/>
      <c r="I16" s="474"/>
      <c r="K16" t="s">
        <v>100</v>
      </c>
      <c r="M16">
        <f>(Q21-D21)</f>
        <v>13</v>
      </c>
    </row>
    <row r="17" spans="1:18" x14ac:dyDescent="0.25">
      <c r="K17" t="s">
        <v>101</v>
      </c>
      <c r="M17" s="35">
        <f>(M15/M16)</f>
        <v>5.128205128205128E-2</v>
      </c>
    </row>
    <row r="18" spans="1:18" x14ac:dyDescent="0.25">
      <c r="A18" s="1" t="s">
        <v>79</v>
      </c>
      <c r="D18">
        <v>30000</v>
      </c>
      <c r="E18" s="36">
        <f>($D$18*(1+($M$17*E19)))</f>
        <v>31538.461538461539</v>
      </c>
      <c r="F18" s="36">
        <f t="shared" ref="F18:Q18" si="0">($D$18*(1+($M$17*F19)))</f>
        <v>33076.923076923078</v>
      </c>
      <c r="G18" s="36">
        <f t="shared" si="0"/>
        <v>34615.38461538461</v>
      </c>
      <c r="H18" s="36">
        <f t="shared" si="0"/>
        <v>36153.846153846149</v>
      </c>
      <c r="I18" s="36">
        <f t="shared" si="0"/>
        <v>37692.307692307695</v>
      </c>
      <c r="J18" s="36">
        <f t="shared" si="0"/>
        <v>39230.769230769234</v>
      </c>
      <c r="K18" s="36">
        <f t="shared" si="0"/>
        <v>40769.230769230773</v>
      </c>
      <c r="L18" s="36">
        <f t="shared" si="0"/>
        <v>42307.692307692305</v>
      </c>
      <c r="M18" s="36">
        <f t="shared" si="0"/>
        <v>43846.153846153844</v>
      </c>
      <c r="N18" s="36">
        <f t="shared" si="0"/>
        <v>45384.615384615383</v>
      </c>
      <c r="O18" s="36">
        <f t="shared" si="0"/>
        <v>46923.076923076922</v>
      </c>
      <c r="P18" s="36">
        <f t="shared" si="0"/>
        <v>48461.538461538461</v>
      </c>
      <c r="Q18" s="36">
        <f t="shared" si="0"/>
        <v>49999.999999999993</v>
      </c>
      <c r="R18" s="36"/>
    </row>
    <row r="19" spans="1:18" x14ac:dyDescent="0.25">
      <c r="A19" s="1"/>
      <c r="D19">
        <v>0</v>
      </c>
      <c r="E19" s="36">
        <v>1</v>
      </c>
      <c r="F19" s="36">
        <v>2</v>
      </c>
      <c r="G19" s="36">
        <v>3</v>
      </c>
      <c r="H19" s="36">
        <v>4</v>
      </c>
      <c r="I19" s="36">
        <v>5</v>
      </c>
      <c r="J19" s="36">
        <v>6</v>
      </c>
      <c r="K19" s="36">
        <v>7</v>
      </c>
      <c r="L19" s="36">
        <v>8</v>
      </c>
      <c r="M19" s="36">
        <v>9</v>
      </c>
      <c r="N19" s="36">
        <v>10</v>
      </c>
      <c r="O19" s="36">
        <v>11</v>
      </c>
      <c r="P19" s="36">
        <v>12</v>
      </c>
      <c r="Q19" s="36">
        <v>13</v>
      </c>
      <c r="R19" s="36"/>
    </row>
    <row r="20" spans="1:18" x14ac:dyDescent="0.25">
      <c r="C20" s="471" t="s">
        <v>96</v>
      </c>
      <c r="D20" s="471"/>
    </row>
    <row r="21" spans="1:18" x14ac:dyDescent="0.25">
      <c r="B21" s="32" t="s">
        <v>90</v>
      </c>
      <c r="C21" s="32" t="s">
        <v>55</v>
      </c>
      <c r="D21" s="32">
        <v>2015</v>
      </c>
      <c r="E21" s="32">
        <f>C23+1</f>
        <v>2016</v>
      </c>
      <c r="F21" s="32">
        <f>E21+1</f>
        <v>2017</v>
      </c>
      <c r="G21" s="32">
        <f t="shared" ref="G21:Q21" si="1">F21+1</f>
        <v>2018</v>
      </c>
      <c r="H21" s="32">
        <f t="shared" si="1"/>
        <v>2019</v>
      </c>
      <c r="I21" s="32">
        <f t="shared" si="1"/>
        <v>2020</v>
      </c>
      <c r="J21" s="32">
        <f t="shared" si="1"/>
        <v>2021</v>
      </c>
      <c r="K21" s="32">
        <f t="shared" si="1"/>
        <v>2022</v>
      </c>
      <c r="L21" s="32">
        <f t="shared" si="1"/>
        <v>2023</v>
      </c>
      <c r="M21" s="32">
        <f t="shared" si="1"/>
        <v>2024</v>
      </c>
      <c r="N21" s="32">
        <f t="shared" si="1"/>
        <v>2025</v>
      </c>
      <c r="O21" s="32">
        <f t="shared" si="1"/>
        <v>2026</v>
      </c>
      <c r="P21" s="32">
        <f t="shared" si="1"/>
        <v>2027</v>
      </c>
      <c r="Q21" s="32">
        <f t="shared" si="1"/>
        <v>2028</v>
      </c>
    </row>
    <row r="22" spans="1:18" x14ac:dyDescent="0.25">
      <c r="B22" s="32" t="s">
        <v>97</v>
      </c>
      <c r="C22" s="32"/>
      <c r="D22" s="34">
        <f>D29</f>
        <v>1841.9323818</v>
      </c>
      <c r="E22" s="34">
        <f>($D$22*(1+($M$17*E19)))</f>
        <v>1936.3904526615386</v>
      </c>
      <c r="F22" s="34">
        <f t="shared" ref="F22:Q22" si="2">($D$22*(1+($M$17*F19)))</f>
        <v>2030.8485235230771</v>
      </c>
      <c r="G22" s="34">
        <f t="shared" si="2"/>
        <v>2125.3065943846154</v>
      </c>
      <c r="H22" s="34">
        <f t="shared" si="2"/>
        <v>2219.764665246154</v>
      </c>
      <c r="I22" s="34">
        <f t="shared" si="2"/>
        <v>2314.2227361076925</v>
      </c>
      <c r="J22" s="34">
        <f t="shared" si="2"/>
        <v>2408.6808069692306</v>
      </c>
      <c r="K22" s="34">
        <f t="shared" si="2"/>
        <v>2503.1388778307692</v>
      </c>
      <c r="L22" s="34">
        <f t="shared" si="2"/>
        <v>2597.5969486923077</v>
      </c>
      <c r="M22" s="34">
        <f t="shared" si="2"/>
        <v>2692.0550195538463</v>
      </c>
      <c r="N22" s="34">
        <f t="shared" si="2"/>
        <v>2786.5130904153848</v>
      </c>
      <c r="O22" s="34">
        <f t="shared" si="2"/>
        <v>2880.9711612769233</v>
      </c>
      <c r="P22" s="34">
        <f t="shared" si="2"/>
        <v>2975.4292321384614</v>
      </c>
      <c r="Q22" s="34">
        <f t="shared" si="2"/>
        <v>3069.887303</v>
      </c>
    </row>
    <row r="23" spans="1:18" x14ac:dyDescent="0.25">
      <c r="A23" s="23" t="s">
        <v>80</v>
      </c>
      <c r="B23" s="23" t="str">
        <f>Energy!D9</f>
        <v>Actual</v>
      </c>
      <c r="C23">
        <v>2015</v>
      </c>
      <c r="D23" s="31">
        <v>923</v>
      </c>
      <c r="E23" s="31">
        <v>920</v>
      </c>
      <c r="F23" s="31">
        <v>917</v>
      </c>
      <c r="G23" s="31">
        <v>914</v>
      </c>
      <c r="H23" s="31">
        <v>911</v>
      </c>
      <c r="I23" s="31">
        <v>908</v>
      </c>
      <c r="J23" s="31">
        <v>905</v>
      </c>
      <c r="K23" s="31">
        <v>902</v>
      </c>
      <c r="L23" s="31">
        <v>899</v>
      </c>
      <c r="M23" s="31">
        <v>896</v>
      </c>
      <c r="N23" s="31">
        <v>893</v>
      </c>
      <c r="O23" s="31">
        <v>890</v>
      </c>
      <c r="P23" s="31">
        <v>887</v>
      </c>
      <c r="Q23" s="31">
        <v>884</v>
      </c>
    </row>
    <row r="24" spans="1:18" x14ac:dyDescent="0.25">
      <c r="A24" s="23" t="s">
        <v>2</v>
      </c>
      <c r="B24" s="23" t="str">
        <f>Water!D9</f>
        <v>Actual</v>
      </c>
      <c r="C24">
        <v>2017</v>
      </c>
      <c r="D24" s="31">
        <v>50</v>
      </c>
      <c r="E24" s="31">
        <v>55</v>
      </c>
      <c r="F24" s="31">
        <v>60</v>
      </c>
      <c r="G24" s="31">
        <v>65</v>
      </c>
      <c r="H24" s="31">
        <v>70</v>
      </c>
      <c r="I24" s="31">
        <v>75</v>
      </c>
      <c r="J24" s="31">
        <v>80</v>
      </c>
      <c r="K24" s="31">
        <v>85</v>
      </c>
      <c r="L24" s="31">
        <v>90</v>
      </c>
      <c r="M24" s="31">
        <v>95</v>
      </c>
      <c r="N24" s="31">
        <v>100</v>
      </c>
      <c r="O24" s="31">
        <v>105</v>
      </c>
      <c r="P24" s="31">
        <v>110</v>
      </c>
      <c r="Q24" s="31">
        <v>115</v>
      </c>
    </row>
    <row r="25" spans="1:18" x14ac:dyDescent="0.25">
      <c r="A25" s="23" t="s">
        <v>91</v>
      </c>
      <c r="B25" s="23" t="str">
        <f>'Waste 1 - Actual'!D9</f>
        <v>Actual</v>
      </c>
      <c r="D25" s="31">
        <f>'Waste 1 - Actual'!D28</f>
        <v>812.93238180000003</v>
      </c>
      <c r="E25" s="31"/>
      <c r="F25" s="31"/>
      <c r="G25" s="31"/>
      <c r="H25" s="31"/>
      <c r="I25" s="31"/>
      <c r="J25" s="31"/>
      <c r="K25" s="31"/>
      <c r="L25" s="31"/>
      <c r="M25" s="31"/>
      <c r="N25" s="31"/>
      <c r="O25" s="31"/>
      <c r="P25" s="31"/>
      <c r="Q25" s="31"/>
    </row>
    <row r="26" spans="1:18" x14ac:dyDescent="0.25">
      <c r="A26" s="23" t="s">
        <v>92</v>
      </c>
      <c r="B26" s="23" t="str">
        <f>'Waste 2 - Estimate'!C9</f>
        <v>Estimate</v>
      </c>
      <c r="C26">
        <v>2018</v>
      </c>
      <c r="D26" s="31">
        <v>50</v>
      </c>
      <c r="E26" s="31">
        <v>48</v>
      </c>
      <c r="F26" s="31">
        <v>47</v>
      </c>
      <c r="G26" s="31">
        <v>44</v>
      </c>
      <c r="H26" s="31">
        <v>43</v>
      </c>
      <c r="I26" s="31">
        <v>42</v>
      </c>
      <c r="J26" s="31">
        <v>41</v>
      </c>
      <c r="K26" s="31">
        <v>40</v>
      </c>
      <c r="L26" s="31">
        <v>39</v>
      </c>
      <c r="M26" s="31">
        <v>38</v>
      </c>
      <c r="N26" s="31">
        <v>37</v>
      </c>
      <c r="O26" s="31">
        <v>36</v>
      </c>
      <c r="P26" s="31">
        <v>35</v>
      </c>
      <c r="Q26" s="31">
        <v>34</v>
      </c>
    </row>
    <row r="27" spans="1:18" x14ac:dyDescent="0.25">
      <c r="A27" s="23" t="s">
        <v>93</v>
      </c>
      <c r="B27" s="23" t="str">
        <f>'Greenery '!C9</f>
        <v>Actual</v>
      </c>
      <c r="C27">
        <v>2015</v>
      </c>
      <c r="D27" s="31">
        <v>-344</v>
      </c>
      <c r="E27" s="31">
        <v>-349</v>
      </c>
      <c r="F27" s="31">
        <v>-354</v>
      </c>
      <c r="G27" s="31">
        <v>-359</v>
      </c>
      <c r="H27" s="31">
        <v>-364</v>
      </c>
      <c r="I27" s="31">
        <v>-369</v>
      </c>
      <c r="J27" s="31">
        <v>-374</v>
      </c>
      <c r="K27" s="31">
        <v>-379</v>
      </c>
      <c r="L27" s="31">
        <v>-384</v>
      </c>
      <c r="M27" s="31">
        <v>-389</v>
      </c>
      <c r="N27" s="31">
        <v>-394</v>
      </c>
      <c r="O27" s="31">
        <v>-399</v>
      </c>
      <c r="P27" s="31">
        <v>-404</v>
      </c>
      <c r="Q27" s="31">
        <v>-409</v>
      </c>
    </row>
    <row r="28" spans="1:18" x14ac:dyDescent="0.25">
      <c r="A28" s="23" t="s">
        <v>94</v>
      </c>
      <c r="B28" s="23" t="e">
        <f>#REF!</f>
        <v>#REF!</v>
      </c>
      <c r="C28">
        <v>2019</v>
      </c>
      <c r="D28" s="31">
        <v>350</v>
      </c>
      <c r="E28" s="31">
        <v>345</v>
      </c>
      <c r="F28" s="31">
        <v>340</v>
      </c>
      <c r="G28" s="31">
        <v>330</v>
      </c>
      <c r="H28" s="31">
        <v>320</v>
      </c>
      <c r="I28" s="31">
        <v>500</v>
      </c>
      <c r="J28" s="31">
        <v>500</v>
      </c>
      <c r="K28" s="31">
        <v>305</v>
      </c>
      <c r="L28" s="31">
        <v>300</v>
      </c>
      <c r="M28" s="31">
        <v>295</v>
      </c>
      <c r="N28" s="31">
        <v>290</v>
      </c>
      <c r="O28" s="31">
        <v>285</v>
      </c>
      <c r="P28" s="31">
        <v>280</v>
      </c>
      <c r="Q28" s="31">
        <v>275</v>
      </c>
    </row>
    <row r="29" spans="1:18" x14ac:dyDescent="0.25">
      <c r="B29" s="472" t="s">
        <v>95</v>
      </c>
      <c r="C29" s="472"/>
      <c r="D29" s="33">
        <f t="shared" ref="D29:Q29" si="3">SUM(D23:D28)</f>
        <v>1841.9323818</v>
      </c>
      <c r="E29" s="33">
        <f t="shared" si="3"/>
        <v>1019</v>
      </c>
      <c r="F29" s="33">
        <f t="shared" si="3"/>
        <v>1010</v>
      </c>
      <c r="G29" s="33">
        <f t="shared" si="3"/>
        <v>994</v>
      </c>
      <c r="H29" s="33">
        <f t="shared" si="3"/>
        <v>980</v>
      </c>
      <c r="I29" s="33">
        <f t="shared" si="3"/>
        <v>1156</v>
      </c>
      <c r="J29" s="33">
        <f t="shared" si="3"/>
        <v>1152</v>
      </c>
      <c r="K29" s="33">
        <f t="shared" si="3"/>
        <v>953</v>
      </c>
      <c r="L29" s="33">
        <f t="shared" si="3"/>
        <v>944</v>
      </c>
      <c r="M29" s="33">
        <f t="shared" si="3"/>
        <v>935</v>
      </c>
      <c r="N29" s="33">
        <f t="shared" si="3"/>
        <v>926</v>
      </c>
      <c r="O29" s="33">
        <f t="shared" si="3"/>
        <v>917</v>
      </c>
      <c r="P29" s="33">
        <f t="shared" si="3"/>
        <v>908</v>
      </c>
      <c r="Q29" s="33">
        <f t="shared" si="3"/>
        <v>899</v>
      </c>
    </row>
  </sheetData>
  <mergeCells count="19">
    <mergeCell ref="A5:I5"/>
    <mergeCell ref="A1:B3"/>
    <mergeCell ref="C1:F3"/>
    <mergeCell ref="H1:I1"/>
    <mergeCell ref="H2:I2"/>
    <mergeCell ref="H3:I3"/>
    <mergeCell ref="B29:C29"/>
    <mergeCell ref="A6:I10"/>
    <mergeCell ref="A12:C12"/>
    <mergeCell ref="D12:I12"/>
    <mergeCell ref="A13:C13"/>
    <mergeCell ref="D13:I13"/>
    <mergeCell ref="A14:C14"/>
    <mergeCell ref="D14:I14"/>
    <mergeCell ref="A15:C15"/>
    <mergeCell ref="D15:I15"/>
    <mergeCell ref="A16:C16"/>
    <mergeCell ref="D16:I16"/>
    <mergeCell ref="C20:D20"/>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01FF0-1473-49A5-931F-D2A8047FCC55}">
  <dimension ref="A1:I56"/>
  <sheetViews>
    <sheetView view="pageLayout" topLeftCell="A58" zoomScaleNormal="100" workbookViewId="0">
      <selection activeCell="I76" sqref="I76"/>
    </sheetView>
  </sheetViews>
  <sheetFormatPr defaultRowHeight="15" x14ac:dyDescent="0.25"/>
  <cols>
    <col min="9" max="9" width="9.5703125" bestFit="1" customWidth="1"/>
  </cols>
  <sheetData>
    <row r="1" spans="1:9" ht="16.5" thickBot="1" x14ac:dyDescent="0.3">
      <c r="A1" s="475" t="s">
        <v>136</v>
      </c>
      <c r="B1" s="476"/>
      <c r="C1" s="476"/>
      <c r="D1" s="476"/>
      <c r="E1" s="476"/>
      <c r="F1" s="476"/>
      <c r="G1" s="476"/>
      <c r="H1" s="476"/>
      <c r="I1" s="477"/>
    </row>
    <row r="3" spans="1:9" x14ac:dyDescent="0.25">
      <c r="A3" s="470" t="s">
        <v>27</v>
      </c>
      <c r="B3" s="470"/>
      <c r="C3" s="470"/>
      <c r="D3" s="474" t="str">
        <f>'Summary (Main)'!D11:H11</f>
        <v>LCC-Z-B090-XX-XXXX</v>
      </c>
      <c r="E3" s="474"/>
      <c r="F3" s="474"/>
      <c r="G3" s="474"/>
      <c r="H3" s="474"/>
      <c r="I3" s="474"/>
    </row>
    <row r="4" spans="1:9" x14ac:dyDescent="0.25">
      <c r="A4" s="470" t="s">
        <v>78</v>
      </c>
      <c r="B4" s="470"/>
      <c r="C4" s="470"/>
      <c r="D4" s="474" t="str">
        <f>'Summary (Main)'!D12:H12</f>
        <v>MAJLIS PERBANDARAN XXY</v>
      </c>
      <c r="E4" s="474"/>
      <c r="F4" s="474"/>
      <c r="G4" s="474"/>
      <c r="H4" s="474"/>
      <c r="I4" s="474"/>
    </row>
    <row r="5" spans="1:9" x14ac:dyDescent="0.25">
      <c r="A5" s="470" t="s">
        <v>0</v>
      </c>
      <c r="B5" s="470"/>
      <c r="C5" s="470"/>
      <c r="D5" s="474" t="str">
        <f>'Summary (Main)'!D13:H13</f>
        <v>MAJLIS PERBANDARAN XXY</v>
      </c>
      <c r="E5" s="474"/>
      <c r="F5" s="474"/>
      <c r="G5" s="474"/>
      <c r="H5" s="474"/>
      <c r="I5" s="474"/>
    </row>
    <row r="6" spans="1:9" x14ac:dyDescent="0.25">
      <c r="A6" s="470" t="s">
        <v>129</v>
      </c>
      <c r="B6" s="470"/>
      <c r="C6" s="470"/>
      <c r="D6" s="474">
        <f>'Summary (Main)'!D14:H14</f>
        <v>77432</v>
      </c>
      <c r="E6" s="474"/>
      <c r="F6" s="474"/>
      <c r="G6" s="474"/>
      <c r="H6" s="474"/>
      <c r="I6" s="474"/>
    </row>
    <row r="7" spans="1:9" x14ac:dyDescent="0.25">
      <c r="A7" s="470" t="s">
        <v>137</v>
      </c>
      <c r="B7" s="470"/>
      <c r="C7" s="470"/>
      <c r="D7" s="474">
        <f>'Summary (Main)'!D15:H15</f>
        <v>451.36</v>
      </c>
      <c r="E7" s="474"/>
      <c r="F7" s="474"/>
      <c r="G7" s="474"/>
      <c r="H7" s="474"/>
      <c r="I7" s="474"/>
    </row>
    <row r="8" spans="1:9" x14ac:dyDescent="0.25">
      <c r="A8" s="5"/>
      <c r="B8" s="5"/>
      <c r="C8" s="5"/>
    </row>
    <row r="9" spans="1:9" x14ac:dyDescent="0.25">
      <c r="A9" s="498" t="s">
        <v>7</v>
      </c>
      <c r="B9" s="498"/>
      <c r="C9" s="81" t="s">
        <v>138</v>
      </c>
      <c r="D9" s="3"/>
      <c r="E9" s="498" t="s">
        <v>12</v>
      </c>
      <c r="F9" s="498"/>
      <c r="G9" s="524" t="s">
        <v>60</v>
      </c>
      <c r="H9" s="524"/>
      <c r="I9" s="524"/>
    </row>
    <row r="10" spans="1:9" x14ac:dyDescent="0.25">
      <c r="A10" s="498" t="s">
        <v>6</v>
      </c>
      <c r="B10" s="498"/>
      <c r="C10" s="523" t="s">
        <v>139</v>
      </c>
      <c r="D10" s="523"/>
      <c r="E10" s="523"/>
      <c r="F10" s="523"/>
      <c r="G10" s="523"/>
      <c r="H10" s="523"/>
      <c r="I10" s="523"/>
    </row>
    <row r="11" spans="1:9" x14ac:dyDescent="0.25">
      <c r="A11" s="1" t="s">
        <v>9</v>
      </c>
      <c r="C11" s="523" t="s">
        <v>68</v>
      </c>
      <c r="D11" s="523"/>
      <c r="E11" s="13">
        <v>1.92</v>
      </c>
      <c r="F11" s="522" t="s">
        <v>71</v>
      </c>
      <c r="G11" s="522"/>
      <c r="H11" s="524" t="s">
        <v>72</v>
      </c>
      <c r="I11" s="524"/>
    </row>
    <row r="12" spans="1:9" x14ac:dyDescent="0.25">
      <c r="C12" s="523" t="s">
        <v>69</v>
      </c>
      <c r="D12" s="523"/>
      <c r="E12" s="13">
        <v>2.74</v>
      </c>
      <c r="F12" s="522" t="s">
        <v>71</v>
      </c>
      <c r="G12" s="522"/>
      <c r="H12" s="524" t="s">
        <v>72</v>
      </c>
      <c r="I12" s="524"/>
    </row>
    <row r="13" spans="1:9" x14ac:dyDescent="0.25">
      <c r="C13" s="523" t="s">
        <v>70</v>
      </c>
      <c r="D13" s="523"/>
      <c r="E13" s="13">
        <v>59.19</v>
      </c>
      <c r="F13" s="522" t="s">
        <v>81</v>
      </c>
      <c r="G13" s="522"/>
      <c r="H13" s="524" t="s">
        <v>72</v>
      </c>
      <c r="I13" s="524"/>
    </row>
    <row r="14" spans="1:9" x14ac:dyDescent="0.25">
      <c r="C14" s="523" t="s">
        <v>61</v>
      </c>
      <c r="D14" s="523"/>
      <c r="E14" s="13">
        <v>0.18368000000000001</v>
      </c>
      <c r="F14" s="522" t="s">
        <v>62</v>
      </c>
      <c r="G14" s="522"/>
      <c r="H14" s="524" t="s">
        <v>63</v>
      </c>
      <c r="I14" s="524"/>
    </row>
    <row r="15" spans="1:9" x14ac:dyDescent="0.25">
      <c r="C15" s="523" t="s">
        <v>64</v>
      </c>
      <c r="D15" s="523"/>
      <c r="E15" s="13">
        <v>0.11529</v>
      </c>
      <c r="F15" s="522" t="s">
        <v>62</v>
      </c>
      <c r="G15" s="522"/>
      <c r="H15" s="524" t="s">
        <v>63</v>
      </c>
      <c r="I15" s="524"/>
    </row>
    <row r="16" spans="1:9" x14ac:dyDescent="0.25">
      <c r="C16" s="523" t="s">
        <v>65</v>
      </c>
      <c r="D16" s="523"/>
      <c r="E16" s="13">
        <v>0.79100000000000004</v>
      </c>
      <c r="F16" s="522" t="s">
        <v>62</v>
      </c>
      <c r="G16" s="522"/>
      <c r="H16" s="524" t="s">
        <v>66</v>
      </c>
      <c r="I16" s="524"/>
    </row>
    <row r="18" spans="1:9" x14ac:dyDescent="0.25">
      <c r="A18" s="537" t="s">
        <v>156</v>
      </c>
      <c r="B18" s="537"/>
      <c r="C18" s="537"/>
      <c r="D18" s="537"/>
      <c r="E18" s="537"/>
      <c r="F18" s="537"/>
      <c r="G18" s="57"/>
      <c r="H18" s="57"/>
      <c r="I18" s="57"/>
    </row>
    <row r="19" spans="1:9" x14ac:dyDescent="0.25">
      <c r="B19" s="80" t="s">
        <v>153</v>
      </c>
      <c r="C19" s="73"/>
      <c r="D19" s="78"/>
      <c r="E19" s="78"/>
      <c r="F19" s="78"/>
      <c r="G19" s="79"/>
    </row>
    <row r="20" spans="1:9" x14ac:dyDescent="0.25">
      <c r="B20" s="14" t="s">
        <v>159</v>
      </c>
      <c r="C20" s="14" t="s">
        <v>159</v>
      </c>
      <c r="D20" s="14" t="s">
        <v>159</v>
      </c>
      <c r="E20" s="14" t="s">
        <v>159</v>
      </c>
      <c r="F20" s="14" t="s">
        <v>159</v>
      </c>
      <c r="G20" s="56" t="s">
        <v>159</v>
      </c>
    </row>
    <row r="21" spans="1:9" ht="51.75" x14ac:dyDescent="0.25">
      <c r="A21" s="71" t="s">
        <v>55</v>
      </c>
      <c r="B21" s="72" t="s">
        <v>147</v>
      </c>
      <c r="C21" s="72" t="s">
        <v>148</v>
      </c>
      <c r="D21" s="72" t="s">
        <v>149</v>
      </c>
      <c r="E21" s="72" t="s">
        <v>150</v>
      </c>
      <c r="F21" s="72" t="s">
        <v>151</v>
      </c>
      <c r="G21" s="72" t="s">
        <v>152</v>
      </c>
      <c r="H21" s="70" t="s">
        <v>155</v>
      </c>
      <c r="I21" s="70" t="s">
        <v>154</v>
      </c>
    </row>
    <row r="22" spans="1:9" x14ac:dyDescent="0.25">
      <c r="A22" s="11" t="s">
        <v>59</v>
      </c>
      <c r="B22" s="11">
        <f>'[4]6B TRANSPORT'!$X$50</f>
        <v>4350</v>
      </c>
      <c r="C22" s="11">
        <f>'[4]6B TRANSPORT'!$X$51</f>
        <v>43272</v>
      </c>
      <c r="D22" s="11">
        <f>'[4]6B TRANSPORT'!$X$52</f>
        <v>4461</v>
      </c>
      <c r="E22" s="11">
        <f>'[4]6B TRANSPORT'!$X$53</f>
        <v>613</v>
      </c>
      <c r="F22" s="11">
        <f>'[4]6B TRANSPORT'!$X$54</f>
        <v>1553</v>
      </c>
      <c r="G22" s="11">
        <f>'[4]6B TRANSPORT'!$X$55</f>
        <v>1513</v>
      </c>
      <c r="H22" s="74">
        <f>'[4]6B TRANSPORT'!$E$84</f>
        <v>5.0204154724499999</v>
      </c>
      <c r="I22" s="38">
        <f>'[4]6B TRANSPORT'!$E$86</f>
        <v>1832.4516474442501</v>
      </c>
    </row>
    <row r="23" spans="1:9" x14ac:dyDescent="0.25">
      <c r="A23" s="2">
        <f>'Summary (Main)'!C17+1</f>
        <v>2018</v>
      </c>
      <c r="B23" s="50">
        <f>'[4]6B TRANSPORT'!$X60</f>
        <v>4524</v>
      </c>
      <c r="C23" s="50">
        <f>'[4]6B TRANSPORT'!$X$61</f>
        <v>45006</v>
      </c>
      <c r="D23" s="50">
        <f>'[4]6B TRANSPORT'!$X$62</f>
        <v>4640</v>
      </c>
      <c r="E23" s="50">
        <f>'[4]6B TRANSPORT'!$X$63</f>
        <v>637</v>
      </c>
      <c r="F23" s="50">
        <f>'[4]6B TRANSPORT'!$X$64</f>
        <v>1624</v>
      </c>
      <c r="G23" s="50">
        <f>'[4]6B TRANSPORT'!$X$65</f>
        <v>1567</v>
      </c>
      <c r="H23" s="76">
        <f>'[4]6B TRANSPORT'!$E$93</f>
        <v>5.2057280445750003</v>
      </c>
      <c r="I23" s="39">
        <f>'[4]6B TRANSPORT'!$E$95</f>
        <v>1900.0907362698752</v>
      </c>
    </row>
    <row r="24" spans="1:9" x14ac:dyDescent="0.25">
      <c r="A24" s="2">
        <f>A23+1</f>
        <v>2019</v>
      </c>
      <c r="B24" s="2">
        <f>'[4]6B TRANSPORT'!$X$70</f>
        <v>4659</v>
      </c>
      <c r="C24" s="2">
        <f>'[4]6B TRANSPORT'!$X$71</f>
        <v>46356</v>
      </c>
      <c r="D24" s="2">
        <f>'[4]6B TRANSPORT'!$X$72</f>
        <v>4779</v>
      </c>
      <c r="E24" s="2">
        <f>'[4]6B TRANSPORT'!$X$73</f>
        <v>657</v>
      </c>
      <c r="F24" s="2">
        <f>'[4]6B TRANSPORT'!$X$74</f>
        <v>1673</v>
      </c>
      <c r="G24" s="2">
        <f>'[4]6B TRANSPORT'!$X$75</f>
        <v>1613</v>
      </c>
      <c r="H24" s="75">
        <f>'[4]6B TRANSPORT'!$E$102</f>
        <v>5.3617689264250004</v>
      </c>
      <c r="I24" s="39">
        <f>'[4]6B TRANSPORT'!$E$104</f>
        <v>1957.0456581451249</v>
      </c>
    </row>
    <row r="25" spans="1:9" x14ac:dyDescent="0.25">
      <c r="A25" s="2">
        <f>A24+1</f>
        <v>2020</v>
      </c>
      <c r="B25" s="2"/>
      <c r="C25" s="2"/>
      <c r="D25" s="2"/>
      <c r="E25" s="2"/>
      <c r="F25" s="2"/>
      <c r="G25" s="2"/>
      <c r="H25" s="2"/>
      <c r="I25" s="39">
        <f>SUM(C25:H25)</f>
        <v>0</v>
      </c>
    </row>
    <row r="26" spans="1:9" x14ac:dyDescent="0.25">
      <c r="I26" s="77"/>
    </row>
    <row r="27" spans="1:9" x14ac:dyDescent="0.25">
      <c r="I27" s="77"/>
    </row>
    <row r="28" spans="1:9" x14ac:dyDescent="0.25">
      <c r="I28" s="77"/>
    </row>
    <row r="29" spans="1:9" ht="15" customHeight="1" x14ac:dyDescent="0.25">
      <c r="I29" s="77"/>
    </row>
    <row r="30" spans="1:9" x14ac:dyDescent="0.25">
      <c r="I30" s="77"/>
    </row>
    <row r="31" spans="1:9" x14ac:dyDescent="0.25">
      <c r="I31" s="77"/>
    </row>
    <row r="32" spans="1:9" x14ac:dyDescent="0.25">
      <c r="I32" s="77"/>
    </row>
    <row r="33" spans="9:9" x14ac:dyDescent="0.25">
      <c r="I33" s="77"/>
    </row>
    <row r="34" spans="9:9" x14ac:dyDescent="0.25">
      <c r="I34" s="77"/>
    </row>
    <row r="51" spans="1:9" x14ac:dyDescent="0.25">
      <c r="A51" s="503" t="s">
        <v>33</v>
      </c>
      <c r="B51" s="504"/>
      <c r="C51" s="510"/>
      <c r="D51" s="503" t="s">
        <v>34</v>
      </c>
      <c r="E51" s="504"/>
      <c r="F51" s="510"/>
      <c r="G51" s="503" t="s">
        <v>35</v>
      </c>
      <c r="H51" s="504"/>
      <c r="I51" s="510"/>
    </row>
    <row r="52" spans="1:9" x14ac:dyDescent="0.25">
      <c r="A52" s="548"/>
      <c r="B52" s="549"/>
      <c r="C52" s="550"/>
      <c r="D52" s="556"/>
      <c r="E52" s="557"/>
      <c r="F52" s="558"/>
      <c r="G52" s="556"/>
      <c r="H52" s="557"/>
      <c r="I52" s="558"/>
    </row>
    <row r="53" spans="1:9" x14ac:dyDescent="0.25">
      <c r="A53" s="551"/>
      <c r="B53" s="472"/>
      <c r="C53" s="552"/>
      <c r="D53" s="559"/>
      <c r="E53" s="522"/>
      <c r="F53" s="560"/>
      <c r="G53" s="559"/>
      <c r="H53" s="522"/>
      <c r="I53" s="560"/>
    </row>
    <row r="54" spans="1:9" x14ac:dyDescent="0.25">
      <c r="A54" s="553"/>
      <c r="B54" s="554"/>
      <c r="C54" s="555"/>
      <c r="D54" s="525"/>
      <c r="E54" s="526"/>
      <c r="F54" s="561"/>
      <c r="G54" s="525"/>
      <c r="H54" s="526"/>
      <c r="I54" s="561"/>
    </row>
    <row r="55" spans="1:9" x14ac:dyDescent="0.25">
      <c r="A55" s="562" t="s">
        <v>36</v>
      </c>
      <c r="B55" s="563"/>
      <c r="C55" s="564"/>
      <c r="D55" s="562" t="s">
        <v>36</v>
      </c>
      <c r="E55" s="563"/>
      <c r="F55" s="564"/>
      <c r="G55" s="562" t="s">
        <v>36</v>
      </c>
      <c r="H55" s="563"/>
      <c r="I55" s="564"/>
    </row>
    <row r="56" spans="1:9" x14ac:dyDescent="0.25">
      <c r="A56" s="562" t="s">
        <v>14</v>
      </c>
      <c r="B56" s="563"/>
      <c r="C56" s="564"/>
      <c r="D56" s="562" t="s">
        <v>14</v>
      </c>
      <c r="E56" s="563"/>
      <c r="F56" s="564"/>
      <c r="G56" s="562" t="s">
        <v>14</v>
      </c>
      <c r="H56" s="563"/>
      <c r="I56" s="564"/>
    </row>
  </sheetData>
  <mergeCells count="47">
    <mergeCell ref="A5:C5"/>
    <mergeCell ref="D5:I5"/>
    <mergeCell ref="A1:I1"/>
    <mergeCell ref="A3:C3"/>
    <mergeCell ref="D3:I3"/>
    <mergeCell ref="A4:C4"/>
    <mergeCell ref="D4:I4"/>
    <mergeCell ref="C12:D12"/>
    <mergeCell ref="F12:G12"/>
    <mergeCell ref="H12:I12"/>
    <mergeCell ref="A6:C6"/>
    <mergeCell ref="D6:I6"/>
    <mergeCell ref="A7:C7"/>
    <mergeCell ref="D7:I7"/>
    <mergeCell ref="A9:B9"/>
    <mergeCell ref="E9:F9"/>
    <mergeCell ref="G9:I9"/>
    <mergeCell ref="A10:B10"/>
    <mergeCell ref="C10:I10"/>
    <mergeCell ref="C11:D11"/>
    <mergeCell ref="F11:G11"/>
    <mergeCell ref="H11:I11"/>
    <mergeCell ref="C13:D13"/>
    <mergeCell ref="F13:G13"/>
    <mergeCell ref="H13:I13"/>
    <mergeCell ref="C14:D14"/>
    <mergeCell ref="F14:G14"/>
    <mergeCell ref="H14:I14"/>
    <mergeCell ref="C15:D15"/>
    <mergeCell ref="F15:G15"/>
    <mergeCell ref="H15:I15"/>
    <mergeCell ref="C16:D16"/>
    <mergeCell ref="F16:G16"/>
    <mergeCell ref="H16:I16"/>
    <mergeCell ref="A18:F18"/>
    <mergeCell ref="A51:C51"/>
    <mergeCell ref="D51:F51"/>
    <mergeCell ref="G51:I51"/>
    <mergeCell ref="A52:C54"/>
    <mergeCell ref="D52:F54"/>
    <mergeCell ref="G52:I54"/>
    <mergeCell ref="A55:C55"/>
    <mergeCell ref="D55:F55"/>
    <mergeCell ref="G55:I55"/>
    <mergeCell ref="A56:C56"/>
    <mergeCell ref="D56:F56"/>
    <mergeCell ref="G56:I56"/>
  </mergeCells>
  <pageMargins left="0.7" right="0.7" top="0.75" bottom="0.75" header="0.3" footer="0.3"/>
  <pageSetup paperSize="9" orientation="portrait" r:id="rId1"/>
  <headerFooter>
    <oddHeader>&amp;LMALAYSIAN GREEN TECHNOLOGY CORPORATION
LOW CARBON CITIES&amp;RMGTC/DC/REC/LCC-003
Version: 1.0 / JUNE 2019</oddHeader>
    <oddFooter>&amp;L
&amp;A&amp;R
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F20D0-75E2-4AD0-AEAA-413220C09C2B}">
  <sheetPr codeName="Sheet3">
    <tabColor rgb="FF00B0F0"/>
  </sheetPr>
  <dimension ref="A5:I48"/>
  <sheetViews>
    <sheetView tabSelected="1" view="pageLayout" zoomScale="85" zoomScaleNormal="100" zoomScalePageLayoutView="85" workbookViewId="0">
      <selection activeCell="C18" sqref="C18"/>
    </sheetView>
  </sheetViews>
  <sheetFormatPr defaultColWidth="8.140625" defaultRowHeight="15" x14ac:dyDescent="0.25"/>
  <cols>
    <col min="1" max="1" width="11.42578125" customWidth="1"/>
    <col min="2" max="3" width="9.7109375" customWidth="1"/>
    <col min="4" max="8" width="12.140625" customWidth="1"/>
    <col min="9" max="9" width="10.85546875" customWidth="1"/>
  </cols>
  <sheetData>
    <row r="5" spans="1:8" x14ac:dyDescent="0.25">
      <c r="A5" s="42"/>
    </row>
    <row r="6" spans="1:8" x14ac:dyDescent="0.25">
      <c r="A6" s="42"/>
    </row>
    <row r="7" spans="1:8" x14ac:dyDescent="0.25">
      <c r="A7" s="42"/>
    </row>
    <row r="8" spans="1:8" x14ac:dyDescent="0.25">
      <c r="A8" s="42"/>
    </row>
    <row r="9" spans="1:8" x14ac:dyDescent="0.25">
      <c r="A9" s="42"/>
    </row>
    <row r="10" spans="1:8" ht="15.75" thickBot="1" x14ac:dyDescent="0.3">
      <c r="A10" s="42"/>
    </row>
    <row r="11" spans="1:8" ht="15.75" thickTop="1" x14ac:dyDescent="0.25">
      <c r="A11" s="470" t="s">
        <v>27</v>
      </c>
      <c r="B11" s="470"/>
      <c r="C11" s="470"/>
      <c r="D11" s="482" t="s">
        <v>279</v>
      </c>
      <c r="E11" s="483"/>
      <c r="F11" s="483"/>
      <c r="G11" s="483"/>
      <c r="H11" s="484"/>
    </row>
    <row r="12" spans="1:8" x14ac:dyDescent="0.25">
      <c r="A12" s="470" t="s">
        <v>78</v>
      </c>
      <c r="B12" s="470"/>
      <c r="C12" s="470"/>
      <c r="D12" s="485" t="s">
        <v>278</v>
      </c>
      <c r="E12" s="486"/>
      <c r="F12" s="486"/>
      <c r="G12" s="486"/>
      <c r="H12" s="487"/>
    </row>
    <row r="13" spans="1:8" x14ac:dyDescent="0.25">
      <c r="A13" s="470" t="s">
        <v>0</v>
      </c>
      <c r="B13" s="470"/>
      <c r="C13" s="470"/>
      <c r="D13" s="485" t="s">
        <v>278</v>
      </c>
      <c r="E13" s="486"/>
      <c r="F13" s="486"/>
      <c r="G13" s="486"/>
      <c r="H13" s="487"/>
    </row>
    <row r="14" spans="1:8" ht="15.75" customHeight="1" x14ac:dyDescent="0.25">
      <c r="A14" s="470" t="s">
        <v>129</v>
      </c>
      <c r="B14" s="470"/>
      <c r="C14" s="470"/>
      <c r="D14" s="485">
        <v>77432</v>
      </c>
      <c r="E14" s="486"/>
      <c r="F14" s="486"/>
      <c r="G14" s="486"/>
      <c r="H14" s="487"/>
    </row>
    <row r="15" spans="1:8" ht="15.75" customHeight="1" thickBot="1" x14ac:dyDescent="0.3">
      <c r="A15" s="470" t="s">
        <v>137</v>
      </c>
      <c r="B15" s="470"/>
      <c r="C15" s="470"/>
      <c r="D15" s="488">
        <v>451.36</v>
      </c>
      <c r="E15" s="489"/>
      <c r="F15" s="489"/>
      <c r="G15" s="489"/>
      <c r="H15" s="490"/>
    </row>
    <row r="16" spans="1:8" ht="16.5" thickTop="1" thickBot="1" x14ac:dyDescent="0.3"/>
    <row r="17" spans="1:9" ht="15.75" thickTop="1" x14ac:dyDescent="0.25">
      <c r="A17" t="s">
        <v>108</v>
      </c>
      <c r="C17" s="378">
        <v>2017</v>
      </c>
      <c r="D17" s="6" t="s">
        <v>130</v>
      </c>
      <c r="G17" s="378">
        <v>3050</v>
      </c>
    </row>
    <row r="18" spans="1:9" ht="15.75" thickBot="1" x14ac:dyDescent="0.3">
      <c r="A18" t="s">
        <v>109</v>
      </c>
      <c r="C18" s="379">
        <v>2018</v>
      </c>
      <c r="D18" s="6" t="s">
        <v>131</v>
      </c>
      <c r="G18" s="379">
        <v>4409</v>
      </c>
    </row>
    <row r="19" spans="1:9" hidden="1" x14ac:dyDescent="0.25">
      <c r="A19" s="43"/>
      <c r="B19" s="43"/>
      <c r="C19" s="43" t="s">
        <v>110</v>
      </c>
      <c r="D19" s="43" t="s">
        <v>102</v>
      </c>
      <c r="E19" s="43"/>
      <c r="F19" s="43">
        <f>((G18-G17)/G17)</f>
        <v>0.4455737704918033</v>
      </c>
      <c r="G19" s="43"/>
      <c r="H19" s="43"/>
    </row>
    <row r="20" spans="1:9" hidden="1" x14ac:dyDescent="0.25">
      <c r="A20" s="43"/>
      <c r="B20" s="43"/>
      <c r="C20" s="43" t="s">
        <v>110</v>
      </c>
      <c r="D20" s="43" t="s">
        <v>100</v>
      </c>
      <c r="E20" s="43"/>
      <c r="F20" s="43">
        <f>C18-C17</f>
        <v>1</v>
      </c>
      <c r="G20" s="43" t="s">
        <v>117</v>
      </c>
      <c r="H20" s="43"/>
    </row>
    <row r="21" spans="1:9" hidden="1" x14ac:dyDescent="0.25">
      <c r="A21" s="43"/>
      <c r="B21" s="43"/>
      <c r="C21" s="43" t="s">
        <v>110</v>
      </c>
      <c r="D21" s="43" t="s">
        <v>101</v>
      </c>
      <c r="E21" s="43"/>
      <c r="F21" s="44">
        <f>(F19/F20)</f>
        <v>0.4455737704918033</v>
      </c>
      <c r="G21" s="43"/>
      <c r="H21" s="43"/>
    </row>
    <row r="22" spans="1:9" ht="15.75" thickTop="1" x14ac:dyDescent="0.25"/>
    <row r="23" spans="1:9" x14ac:dyDescent="0.25">
      <c r="A23" s="481" t="s">
        <v>124</v>
      </c>
      <c r="B23" s="481"/>
      <c r="C23" s="481"/>
      <c r="D23" s="481"/>
      <c r="E23" s="481"/>
      <c r="F23" s="481"/>
      <c r="G23" s="481"/>
      <c r="H23" s="481"/>
      <c r="I23" s="481"/>
    </row>
    <row r="24" spans="1:9" x14ac:dyDescent="0.25">
      <c r="A24" s="45" t="s">
        <v>111</v>
      </c>
      <c r="B24" s="45" t="s">
        <v>90</v>
      </c>
      <c r="C24" s="45" t="s">
        <v>112</v>
      </c>
      <c r="D24" s="53">
        <f>$C$17</f>
        <v>2017</v>
      </c>
      <c r="E24" s="45">
        <f>$C$25+1</f>
        <v>2018</v>
      </c>
      <c r="F24" s="45">
        <f>E24+1</f>
        <v>2019</v>
      </c>
      <c r="G24" s="45">
        <f>F24+1</f>
        <v>2020</v>
      </c>
      <c r="H24" s="45">
        <f>G24+1</f>
        <v>2021</v>
      </c>
      <c r="I24" s="45">
        <f>H24+1</f>
        <v>2022</v>
      </c>
    </row>
    <row r="25" spans="1:9" x14ac:dyDescent="0.25">
      <c r="A25" s="45" t="s">
        <v>80</v>
      </c>
      <c r="B25" s="46" t="str">
        <f>Energy!D9</f>
        <v>Actual</v>
      </c>
      <c r="C25" s="4">
        <f>$C$17</f>
        <v>2017</v>
      </c>
      <c r="D25" s="60">
        <f>Energy!D28</f>
        <v>1839.05836</v>
      </c>
      <c r="E25" s="60">
        <f>Energy!E28</f>
        <v>2079.2661604999998</v>
      </c>
      <c r="F25" s="60">
        <f>Energy!F28</f>
        <v>1999.437596</v>
      </c>
      <c r="G25" s="60">
        <f>Energy!G28</f>
        <v>0</v>
      </c>
      <c r="H25" s="61">
        <f>Energy!H28</f>
        <v>0</v>
      </c>
      <c r="I25" s="61">
        <f>Energy!I28</f>
        <v>0</v>
      </c>
    </row>
    <row r="26" spans="1:9" x14ac:dyDescent="0.25">
      <c r="A26" s="45" t="s">
        <v>2</v>
      </c>
      <c r="B26" s="46" t="str">
        <f>Water!D9</f>
        <v>Actual</v>
      </c>
      <c r="C26" s="4">
        <f t="shared" ref="C26:C32" si="0">$C$17</f>
        <v>2017</v>
      </c>
      <c r="D26" s="60">
        <f>Water!D28</f>
        <v>69.823836</v>
      </c>
      <c r="E26" s="60">
        <f>Water!E28</f>
        <v>133.85541599999999</v>
      </c>
      <c r="F26" s="60">
        <f>Water!F28</f>
        <v>192.98260099999999</v>
      </c>
      <c r="G26" s="60">
        <f>Water!G28</f>
        <v>0</v>
      </c>
      <c r="H26" s="60">
        <f>Water!H28</f>
        <v>0</v>
      </c>
      <c r="I26" s="60">
        <f>Water!I28</f>
        <v>0</v>
      </c>
    </row>
    <row r="27" spans="1:9" s="185" customFormat="1" x14ac:dyDescent="0.25">
      <c r="A27" s="255" t="s">
        <v>271</v>
      </c>
      <c r="B27" s="377" t="s">
        <v>269</v>
      </c>
      <c r="C27" s="380">
        <v>1</v>
      </c>
      <c r="D27" s="256"/>
      <c r="E27" s="257"/>
      <c r="F27" s="257"/>
      <c r="G27" s="257"/>
      <c r="H27" s="257"/>
      <c r="I27" s="257"/>
    </row>
    <row r="28" spans="1:9" x14ac:dyDescent="0.25">
      <c r="A28" s="45" t="s">
        <v>280</v>
      </c>
      <c r="B28" s="46" t="str">
        <f>'Waste 1 - Actual'!D9</f>
        <v>Actual</v>
      </c>
      <c r="C28" s="4">
        <f t="shared" si="0"/>
        <v>2017</v>
      </c>
      <c r="D28" s="62">
        <f>IF($C$27=1,'Waste 1 - Actual'!D28,"-")</f>
        <v>812.93238180000003</v>
      </c>
      <c r="E28" s="62">
        <f>IF($C$27=1,'Waste 1 - Actual'!E28,"-")</f>
        <v>1109.7172195999999</v>
      </c>
      <c r="F28" s="62">
        <f>IF($C$27=1,'Waste 1 - Actual'!F28,"-")</f>
        <v>1130.8323464</v>
      </c>
      <c r="G28" s="62">
        <f>IF($C$27=1,'Waste 1 - Actual'!G28,"-")</f>
        <v>0</v>
      </c>
      <c r="H28" s="62">
        <f>IF($C$27=1,'Waste 1 - Actual'!H28,"-")</f>
        <v>0</v>
      </c>
      <c r="I28" s="62">
        <f>IF($C$27=1,'Waste 1 - Actual'!I28,"-")</f>
        <v>0</v>
      </c>
    </row>
    <row r="29" spans="1:9" x14ac:dyDescent="0.25">
      <c r="A29" s="45" t="s">
        <v>281</v>
      </c>
      <c r="B29" s="46" t="str">
        <f>'Waste 2 - Estimate'!C9</f>
        <v>Estimate</v>
      </c>
      <c r="C29" s="4">
        <f t="shared" si="0"/>
        <v>2017</v>
      </c>
      <c r="D29" s="60" t="str">
        <f>IF($C$27=2,'Waste 2 - Estimate'!E29,"-")</f>
        <v>-</v>
      </c>
      <c r="E29" s="60" t="str">
        <f>IF($C$27=2,'Waste 2 - Estimate'!F29,"-")</f>
        <v>-</v>
      </c>
      <c r="F29" s="60" t="str">
        <f>IF($C$27=2,'Waste 2 - Estimate'!G29,"-")</f>
        <v>-</v>
      </c>
      <c r="G29" s="60" t="str">
        <f>IF($C$27=2,'Waste 2 - Estimate'!H29,"-")</f>
        <v>-</v>
      </c>
      <c r="H29" s="60" t="str">
        <f>IF($C$27=2,'Waste 2 - Estimate'!I29,"-")</f>
        <v>-</v>
      </c>
      <c r="I29" s="60" t="str">
        <f>IF($C$27=2,'Waste 2 - Estimate'!J29,"-")</f>
        <v>-</v>
      </c>
    </row>
    <row r="30" spans="1:9" x14ac:dyDescent="0.25">
      <c r="A30" s="258" t="s">
        <v>272</v>
      </c>
      <c r="B30" s="377" t="s">
        <v>270</v>
      </c>
      <c r="C30" s="380">
        <v>3</v>
      </c>
      <c r="D30" s="259"/>
      <c r="E30" s="257"/>
      <c r="F30" s="257"/>
      <c r="G30" s="257"/>
      <c r="H30" s="257"/>
      <c r="I30" s="257"/>
    </row>
    <row r="31" spans="1:9" x14ac:dyDescent="0.25">
      <c r="A31" s="45" t="s">
        <v>282</v>
      </c>
      <c r="B31" s="46" t="str">
        <f>'Mobility 1 - Actual'!C9</f>
        <v>Actual</v>
      </c>
      <c r="C31" s="4">
        <f t="shared" si="0"/>
        <v>2017</v>
      </c>
      <c r="D31" s="60">
        <f>IF($C$30=3,'Mobility 1 - Actual'!D28,"-")</f>
        <v>0.77913395000000008</v>
      </c>
      <c r="E31" s="60">
        <f>IF($C$30=3,'Mobility 1 - Actual'!E28,"-")</f>
        <v>0.76988870000000009</v>
      </c>
      <c r="F31" s="60">
        <f>IF($C$30=3,'Mobility 1 - Actual'!F28,"-")</f>
        <v>0</v>
      </c>
      <c r="G31" s="60">
        <f>IF($C$30=3,'Mobility 1 - Actual'!G28,"-")</f>
        <v>0</v>
      </c>
      <c r="H31" s="60">
        <f>IF($C$30=3,'Mobility 1 - Actual'!H28,"-")</f>
        <v>0</v>
      </c>
      <c r="I31" s="60">
        <f>IF($C$30=3,'Mobility 1 - Actual'!I28,"-")</f>
        <v>0</v>
      </c>
    </row>
    <row r="32" spans="1:9" x14ac:dyDescent="0.25">
      <c r="A32" s="45" t="s">
        <v>283</v>
      </c>
      <c r="B32" s="46" t="str">
        <f>'Mobility 2 - Estimate'!C9</f>
        <v>Estimate</v>
      </c>
      <c r="C32" s="4">
        <f t="shared" si="0"/>
        <v>2017</v>
      </c>
      <c r="D32" s="60" t="str">
        <f>IF($C$30=4,'Mobility 2 - Estimate'!$I55,"-")</f>
        <v>-</v>
      </c>
      <c r="E32" s="60" t="str">
        <f>IF($C$30=4,'Mobility 2 - Estimate'!$I57,"-")</f>
        <v>-</v>
      </c>
      <c r="F32" s="60" t="str">
        <f>IF($C$30=4,'Mobility 2 - Estimate'!$I59,"-")</f>
        <v>-</v>
      </c>
      <c r="G32" s="60" t="str">
        <f>IF($C$30=4,'Mobility 2 - Estimate'!$I61,"-")</f>
        <v>-</v>
      </c>
      <c r="H32" s="60" t="str">
        <f>IF($C$30=4,'Mobility 2 - Estimate'!$I63,"-")</f>
        <v>-</v>
      </c>
      <c r="I32" s="60" t="str">
        <f>IF($C$30=4,'Mobility 2 - Estimate'!$I65,"-")</f>
        <v>-</v>
      </c>
    </row>
    <row r="33" spans="1:9" x14ac:dyDescent="0.25">
      <c r="A33" s="23"/>
      <c r="B33" s="22" t="s">
        <v>118</v>
      </c>
      <c r="C33" s="23"/>
      <c r="D33" s="63">
        <f t="shared" ref="D33:I33" si="1">SUM(D25:D32)</f>
        <v>2722.5937117499998</v>
      </c>
      <c r="E33" s="63">
        <f t="shared" si="1"/>
        <v>3323.6086848</v>
      </c>
      <c r="F33" s="63">
        <f t="shared" si="1"/>
        <v>3323.2525433999999</v>
      </c>
      <c r="G33" s="63">
        <f t="shared" si="1"/>
        <v>0</v>
      </c>
      <c r="H33" s="63">
        <f t="shared" si="1"/>
        <v>0</v>
      </c>
      <c r="I33" s="63">
        <f t="shared" si="1"/>
        <v>0</v>
      </c>
    </row>
    <row r="34" spans="1:9" hidden="1" x14ac:dyDescent="0.25">
      <c r="A34" s="43" t="s">
        <v>110</v>
      </c>
      <c r="B34" s="47" t="s">
        <v>158</v>
      </c>
      <c r="C34" s="43"/>
      <c r="D34" s="63">
        <f t="shared" ref="D34:I34" si="2">SUM(D25:D29)</f>
        <v>2721.8145777999998</v>
      </c>
      <c r="E34" s="63">
        <f t="shared" si="2"/>
        <v>3322.8387960999999</v>
      </c>
      <c r="F34" s="63">
        <f t="shared" si="2"/>
        <v>3323.2525433999999</v>
      </c>
      <c r="G34" s="63">
        <f t="shared" si="2"/>
        <v>0</v>
      </c>
      <c r="H34" s="63">
        <f t="shared" si="2"/>
        <v>0</v>
      </c>
      <c r="I34" s="63">
        <f t="shared" si="2"/>
        <v>0</v>
      </c>
    </row>
    <row r="35" spans="1:9" hidden="1" x14ac:dyDescent="0.25">
      <c r="A35" s="43" t="s">
        <v>110</v>
      </c>
      <c r="B35" s="47" t="s">
        <v>157</v>
      </c>
      <c r="C35" s="43"/>
      <c r="D35" s="63" t="e">
        <f t="shared" ref="D35:I35" si="3">D31+D32</f>
        <v>#VALUE!</v>
      </c>
      <c r="E35" s="63" t="e">
        <f t="shared" si="3"/>
        <v>#VALUE!</v>
      </c>
      <c r="F35" s="63" t="e">
        <f t="shared" si="3"/>
        <v>#VALUE!</v>
      </c>
      <c r="G35" s="63" t="e">
        <f t="shared" si="3"/>
        <v>#VALUE!</v>
      </c>
      <c r="H35" s="63" t="e">
        <f t="shared" si="3"/>
        <v>#VALUE!</v>
      </c>
      <c r="I35" s="63" t="e">
        <f t="shared" si="3"/>
        <v>#VALUE!</v>
      </c>
    </row>
    <row r="36" spans="1:9" hidden="1" x14ac:dyDescent="0.25">
      <c r="A36" s="43" t="s">
        <v>110</v>
      </c>
      <c r="B36" s="47" t="s">
        <v>113</v>
      </c>
      <c r="C36" s="43"/>
      <c r="D36" s="64">
        <f>G17</f>
        <v>3050</v>
      </c>
      <c r="E36" s="64">
        <f>$D$36*(1+($F$21*E$37))</f>
        <v>4409</v>
      </c>
      <c r="F36" s="64">
        <f>$D$36*(1+($F$21*F$37))</f>
        <v>5768</v>
      </c>
      <c r="G36" s="64">
        <f>$D$36*(1+($F$21*G$37))</f>
        <v>7127</v>
      </c>
      <c r="H36" s="64">
        <f>$D$36*(1+($F$21*H$37))</f>
        <v>8486</v>
      </c>
      <c r="I36" s="64">
        <f>$D$36*(1+($F$21*I$37))</f>
        <v>9845</v>
      </c>
    </row>
    <row r="37" spans="1:9" hidden="1" x14ac:dyDescent="0.25">
      <c r="A37" s="43" t="s">
        <v>110</v>
      </c>
      <c r="B37" s="47" t="s">
        <v>114</v>
      </c>
      <c r="C37" s="43"/>
      <c r="D37" s="64">
        <v>0</v>
      </c>
      <c r="E37" s="65">
        <v>1</v>
      </c>
      <c r="F37" s="65">
        <v>2</v>
      </c>
      <c r="G37" s="65">
        <v>3</v>
      </c>
      <c r="H37" s="65">
        <v>4</v>
      </c>
      <c r="I37" s="65">
        <v>5</v>
      </c>
    </row>
    <row r="38" spans="1:9" hidden="1" x14ac:dyDescent="0.25">
      <c r="A38" s="43" t="s">
        <v>110</v>
      </c>
      <c r="B38" s="47" t="s">
        <v>115</v>
      </c>
      <c r="C38" s="43"/>
      <c r="D38" s="64"/>
      <c r="E38" s="64"/>
      <c r="F38" s="64"/>
      <c r="G38" s="64"/>
      <c r="H38" s="64"/>
      <c r="I38" s="64"/>
    </row>
    <row r="39" spans="1:9" x14ac:dyDescent="0.25">
      <c r="A39" s="52" t="s">
        <v>122</v>
      </c>
      <c r="B39" s="22" t="s">
        <v>119</v>
      </c>
      <c r="C39" s="23"/>
      <c r="D39" s="63">
        <f>D33</f>
        <v>2722.5937117499998</v>
      </c>
      <c r="E39" s="63">
        <f>$D$33*(1+($F$21*E$37))</f>
        <v>3935.7100574117208</v>
      </c>
      <c r="F39" s="63">
        <f>$D$33*(1+($F$21*F$37))</f>
        <v>5148.8264030734417</v>
      </c>
      <c r="G39" s="63">
        <f>$D$33*(1+($F$21*G$37))</f>
        <v>6361.9427487351631</v>
      </c>
      <c r="H39" s="63">
        <f>$D$33*(1+($F$21*H$37))</f>
        <v>7575.0590943968846</v>
      </c>
      <c r="I39" s="63">
        <f>$D$33*(1+($F$21*I$37))</f>
        <v>8788.1754400586069</v>
      </c>
    </row>
    <row r="40" spans="1:9" x14ac:dyDescent="0.25">
      <c r="A40" s="23"/>
      <c r="B40" s="22" t="s">
        <v>120</v>
      </c>
      <c r="C40" s="23"/>
      <c r="D40" s="66"/>
      <c r="E40" s="63">
        <f>IF(E33, E39-E33, 0)</f>
        <v>612.10137261172076</v>
      </c>
      <c r="F40" s="63">
        <f>IF(F33, F39-F33, 0)</f>
        <v>1825.5738596734418</v>
      </c>
      <c r="G40" s="63">
        <f>IF(G33, G39-G33, 0)</f>
        <v>0</v>
      </c>
      <c r="H40" s="63">
        <f>IF(H33, H39-H33, 0)</f>
        <v>0</v>
      </c>
      <c r="I40" s="63">
        <f>IF(I33, I39-I33, 0)</f>
        <v>0</v>
      </c>
    </row>
    <row r="41" spans="1:9" x14ac:dyDescent="0.25">
      <c r="A41" s="23"/>
      <c r="B41" s="22" t="s">
        <v>121</v>
      </c>
      <c r="C41" s="23"/>
      <c r="D41" s="66"/>
      <c r="E41" s="67">
        <f>IF(E40,E40/E39,"No Input")</f>
        <v>0.15552501675244415</v>
      </c>
      <c r="F41" s="67">
        <f>IF(F40,F40/F39,"No Input")</f>
        <v>0.35456115952631823</v>
      </c>
      <c r="G41" s="68" t="str">
        <f>IF(G40,G40/G39,"No Input")</f>
        <v>No Input</v>
      </c>
      <c r="H41" s="68" t="str">
        <f>IF(H40,H40/H39,"No Input")</f>
        <v>No Input</v>
      </c>
      <c r="I41" s="68" t="str">
        <f>IF(I40,I40/I39,"No Input")</f>
        <v>No Input</v>
      </c>
    </row>
    <row r="42" spans="1:9" x14ac:dyDescent="0.25">
      <c r="A42" s="23"/>
      <c r="B42" s="22" t="s">
        <v>126</v>
      </c>
      <c r="C42" s="23"/>
      <c r="D42" s="54" t="s">
        <v>123</v>
      </c>
      <c r="E42" s="55" t="str">
        <f>IF(E41&lt;0%,"Carbon Increase!",IF(AND(E41&gt;100%,E41&lt;=200%),"Carbon Negative",IF(E41=100%,"Carbon Neutral",IF(AND(E41&gt;=90%,E41&lt;100%),"7 Diamond",(IF(AND(E41&gt;=65%,E41&lt;90%),"6 Diamond",(IF(AND(E41&gt;=45%,E41&lt;65%),"5 Diamond",(IF(AND(E41&gt;=25%,E41&lt;45%),"4 Diamond",IF(AND(E41&gt;=10%,E41&lt;25%),"3 Diamond",(IF(AND(E41&gt;=5%,E41&lt;10%),"2 Diamond",(IF(AND(E41&gt;=1%,E41&lt;5%),"1 Diamond",(IF(AND(E41&gt;=0%,E41&lt;1%),"On Going Effort","N/A")))))))))))))))))</f>
        <v>3 Diamond</v>
      </c>
      <c r="F42" s="55" t="str">
        <f>IF(F41&lt;0%,"Carbon Increase!",IF(AND(F41&gt;100%,F41&lt;=200%),"Carbon Negative",IF(F41=100%,"Carbon Neutral",IF(AND(F41&gt;=90%,F41&lt;100%),"7 Diamond",(IF(AND(F41&gt;=65%,F41&lt;90%),"6 Diamond",(IF(AND(F41&gt;=45%,F41&lt;65%),"5 Diamond",(IF(AND(F41&gt;=25%,F41&lt;45%),"4 Diamond",IF(AND(F41&gt;=10%,F41&lt;25%),"3 Diamond",(IF(AND(F41&gt;=5%,F41&lt;10%),"2 Diamond",(IF(AND(F41&gt;=1%,F41&lt;5%),"1 Diamond",(IF(AND(F41&gt;=0%,F41&lt;1%),"On Going Effort","N/A")))))))))))))))))</f>
        <v>4 Diamond</v>
      </c>
      <c r="G42" s="55" t="str">
        <f>IF(G41&lt;0%,"Carbon Increase!",IF(AND(G41&gt;100%,G41&lt;=200%),"Carbon Negative",IF(G41=100%,"Carbon Neutral",IF(AND(G41&gt;=90%,G41&lt;100%),"7 Diamond",(IF(AND(G41&gt;=65%,G41&lt;90%),"6 Diamond",(IF(AND(G41&gt;=45%,G41&lt;65%),"5 Diamond",(IF(AND(G41&gt;=25%,G41&lt;45%),"4 Diamond",IF(AND(G41&gt;=10%,G41&lt;25%),"3 Diamond",(IF(AND(G41&gt;=5%,G41&lt;10%),"2 Diamond",(IF(AND(G41&gt;=1%,G41&lt;5%),"1 Diamond",(IF(AND(G41&gt;=0%,G41&lt;1%),"On Going Effort","N/A")))))))))))))))))</f>
        <v>N/A</v>
      </c>
      <c r="H42" s="55" t="str">
        <f>IF(H41&lt;0%,"Carbon Increase!",IF(AND(H41&gt;100%,H41&lt;=200%),"Carbon Negative",IF(H41=100%,"Carbon Neutral",IF(AND(H41&gt;=90%,H41&lt;100%),"7 Diamond",(IF(AND(H41&gt;=65%,H41&lt;90%),"6 Diamond",(IF(AND(H41&gt;=45%,H41&lt;65%),"5 Diamond",(IF(AND(H41&gt;=25%,H41&lt;45%),"4 Diamond",IF(AND(H41&gt;=10%,H41&lt;25%),"3 Diamond",(IF(AND(H41&gt;=5%,H41&lt;10%),"2 Diamond",(IF(AND(H41&gt;=1%,H41&lt;5%),"1 Diamond",(IF(AND(H41&gt;=0%,H41&lt;1%),"On Going Effort","N/A")))))))))))))))))</f>
        <v>N/A</v>
      </c>
      <c r="I42" s="55" t="str">
        <f>IF(I41&lt;0%,"Carbon Increase!",IF(AND(I41&gt;100%,I41&lt;=200%),"Carbon Negative",IF(I41=100%,"Carbon Neutral",IF(AND(I41&gt;=90%,I41&lt;100%),"7 Diamond",(IF(AND(I41&gt;=65%,I41&lt;90%),"6 Diamond",(IF(AND(I41&gt;=45%,I41&lt;65%),"5 Diamond",(IF(AND(I41&gt;=25%,I41&lt;45%),"4 Diamond",IF(AND(I41&gt;=10%,I41&lt;25%),"3 Diamond",(IF(AND(I41&gt;=5%,I41&lt;10%),"2 Diamond",(IF(AND(I41&gt;=1%,I41&lt;5%),"1 Diamond",(IF(AND(I41&gt;=0%,I41&lt;1%),"On Going Effort","N/A")))))))))))))))))</f>
        <v>N/A</v>
      </c>
    </row>
    <row r="43" spans="1:9" x14ac:dyDescent="0.25">
      <c r="A43" s="480" t="s">
        <v>125</v>
      </c>
      <c r="B43" s="480"/>
      <c r="C43" s="480"/>
      <c r="D43" s="480"/>
      <c r="E43" s="480"/>
      <c r="F43" s="480"/>
      <c r="G43" s="480"/>
      <c r="H43" s="480"/>
      <c r="I43" s="480"/>
    </row>
    <row r="44" spans="1:9" x14ac:dyDescent="0.25">
      <c r="A44" s="252" t="s">
        <v>111</v>
      </c>
      <c r="B44" s="261" t="s">
        <v>90</v>
      </c>
      <c r="C44" s="262" t="s">
        <v>112</v>
      </c>
      <c r="D44" s="261">
        <f>$C$17</f>
        <v>2017</v>
      </c>
      <c r="E44" s="261">
        <f>D44+1</f>
        <v>2018</v>
      </c>
      <c r="F44" s="261">
        <f>E44+1</f>
        <v>2019</v>
      </c>
      <c r="G44" s="261">
        <f t="shared" ref="G44:I44" si="4">F44+1</f>
        <v>2020</v>
      </c>
      <c r="H44" s="261">
        <f t="shared" si="4"/>
        <v>2021</v>
      </c>
      <c r="I44" s="261">
        <f t="shared" si="4"/>
        <v>2022</v>
      </c>
    </row>
    <row r="45" spans="1:9" x14ac:dyDescent="0.25">
      <c r="A45" s="252" t="s">
        <v>93</v>
      </c>
      <c r="B45" s="263" t="s">
        <v>8</v>
      </c>
      <c r="C45" s="24">
        <f>$C$17</f>
        <v>2017</v>
      </c>
      <c r="D45" s="264">
        <f>'Greenery '!G21</f>
        <v>2.1</v>
      </c>
      <c r="E45" s="264">
        <f>'Greenery '!G22</f>
        <v>3</v>
      </c>
      <c r="F45" s="264">
        <f>'Greenery '!G23</f>
        <v>2.4</v>
      </c>
      <c r="G45" s="264">
        <f>'Greenery '!G24</f>
        <v>0</v>
      </c>
      <c r="H45" s="264">
        <f>'Greenery '!G25</f>
        <v>0</v>
      </c>
      <c r="I45" s="264">
        <f>'Greenery '!H25</f>
        <v>0</v>
      </c>
    </row>
    <row r="46" spans="1:9" x14ac:dyDescent="0.25">
      <c r="B46" s="466" t="s">
        <v>310</v>
      </c>
      <c r="C46" s="463"/>
      <c r="D46" s="294"/>
      <c r="E46" s="464">
        <f>IF(E45,E45-$D$45,0)</f>
        <v>0.89999999999999991</v>
      </c>
      <c r="F46" s="464">
        <f t="shared" ref="F46:I46" si="5">IF(F45,F45-$D$45,0)</f>
        <v>0.29999999999999982</v>
      </c>
      <c r="G46" s="464">
        <f t="shared" si="5"/>
        <v>0</v>
      </c>
      <c r="H46" s="464">
        <f t="shared" si="5"/>
        <v>0</v>
      </c>
      <c r="I46" s="464">
        <f t="shared" si="5"/>
        <v>0</v>
      </c>
    </row>
    <row r="47" spans="1:9" x14ac:dyDescent="0.25">
      <c r="B47" s="467" t="s">
        <v>311</v>
      </c>
      <c r="C47" s="294"/>
      <c r="D47" s="294"/>
      <c r="E47" s="465">
        <f>IF(E46,E46/$D$45,"-")</f>
        <v>0.42857142857142849</v>
      </c>
      <c r="F47" s="465">
        <f t="shared" ref="F47:I47" si="6">IF(F46,F46/$D$45,"-")</f>
        <v>0.14285714285714277</v>
      </c>
      <c r="G47" s="465" t="str">
        <f t="shared" si="6"/>
        <v>-</v>
      </c>
      <c r="H47" s="465" t="str">
        <f t="shared" si="6"/>
        <v>-</v>
      </c>
      <c r="I47" s="465" t="str">
        <f t="shared" si="6"/>
        <v>-</v>
      </c>
    </row>
    <row r="48" spans="1:9" x14ac:dyDescent="0.25">
      <c r="B48" s="22" t="s">
        <v>126</v>
      </c>
      <c r="C48" s="23"/>
      <c r="D48" s="54" t="s">
        <v>123</v>
      </c>
      <c r="E48" s="55" t="str">
        <f>IF(E47&lt;0%,"Carbon Increase!",IF(AND(E47&gt;100%,E47&lt;=200%),"Carbon Negative",IF(E47=100%,"Carbon Neutral",IF(AND(E47&gt;=90%,E47&lt;100%),"7 Diamond",(IF(AND(E47&gt;=65%,E47&lt;90%),"6 Diamond",(IF(AND(E47&gt;=45%,E47&lt;65%),"5 Diamond",(IF(AND(E47&gt;=25%,E47&lt;45%),"4 Diamond",IF(AND(E47&gt;=10%,E47&lt;25%),"3 Diamond",(IF(AND(E47&gt;=5%,E47&lt;10%),"2 Diamond",(IF(AND(E47&gt;=1%,E47&lt;5%),"1 Diamond",(IF(AND(E47&gt;=0%,E47&lt;1%),"On Going Effort","N/A")))))))))))))))))</f>
        <v>4 Diamond</v>
      </c>
      <c r="F48" s="55" t="str">
        <f>IF(F47&lt;0%,"Carbon Increase!",IF(AND(F47&gt;100%,F47&lt;=200%),"Carbon Negative",IF(F47=100%,"Carbon Neutral",IF(AND(F47&gt;=90%,F47&lt;100%),"7 Diamond",(IF(AND(F47&gt;=65%,F47&lt;90%),"6 Diamond",(IF(AND(F47&gt;=45%,F47&lt;65%),"5 Diamond",(IF(AND(F47&gt;=25%,F47&lt;45%),"4 Diamond",IF(AND(F47&gt;=10%,F47&lt;25%),"3 Diamond",(IF(AND(F47&gt;=5%,F47&lt;10%),"2 Diamond",(IF(AND(F47&gt;=1%,F47&lt;5%),"1 Diamond",(IF(AND(F47&gt;=0%,F47&lt;1%),"On Going Effort","N/A")))))))))))))))))</f>
        <v>3 Diamond</v>
      </c>
      <c r="G48" s="55" t="str">
        <f>IF(G47&lt;0%,"Carbon Increase!",IF(AND(G47&gt;100%,G47&lt;=200%),"Carbon Negative",IF(G47=100%,"Carbon Neutral",IF(AND(G47&gt;=90%,G47&lt;100%),"7 Diamond",(IF(AND(G47&gt;=65%,G47&lt;90%),"6 Diamond",(IF(AND(G47&gt;=45%,G47&lt;65%),"5 Diamond",(IF(AND(G47&gt;=25%,G47&lt;45%),"4 Diamond",IF(AND(G47&gt;=10%,G47&lt;25%),"3 Diamond",(IF(AND(G47&gt;=5%,G47&lt;10%),"2 Diamond",(IF(AND(G47&gt;=1%,G47&lt;5%),"1 Diamond",(IF(AND(G47&gt;=0%,G47&lt;1%),"On Going Effort","N/A")))))))))))))))))</f>
        <v>N/A</v>
      </c>
      <c r="H48" s="55" t="str">
        <f>IF(H47&lt;0%,"Carbon Increase!",IF(AND(H47&gt;100%,H47&lt;=200%),"Carbon Negative",IF(H47=100%,"Carbon Neutral",IF(AND(H47&gt;=90%,H47&lt;100%),"7 Diamond",(IF(AND(H47&gt;=65%,H47&lt;90%),"6 Diamond",(IF(AND(H47&gt;=45%,H47&lt;65%),"5 Diamond",(IF(AND(H47&gt;=25%,H47&lt;45%),"4 Diamond",IF(AND(H47&gt;=10%,H47&lt;25%),"3 Diamond",(IF(AND(H47&gt;=5%,H47&lt;10%),"2 Diamond",(IF(AND(H47&gt;=1%,H47&lt;5%),"1 Diamond",(IF(AND(H47&gt;=0%,H47&lt;1%),"On Going Effort","N/A")))))))))))))))))</f>
        <v>N/A</v>
      </c>
      <c r="I48" s="55" t="str">
        <f>IF(I47&lt;0%,"Carbon Increase!",IF(AND(I47&gt;100%,I47&lt;=200%),"Carbon Negative",IF(I47=100%,"Carbon Neutral",IF(AND(I47&gt;=90%,I47&lt;100%),"7 Diamond",(IF(AND(I47&gt;=65%,I47&lt;90%),"6 Diamond",(IF(AND(I47&gt;=45%,I47&lt;65%),"5 Diamond",(IF(AND(I47&gt;=25%,I47&lt;45%),"4 Diamond",IF(AND(I47&gt;=10%,I47&lt;25%),"3 Diamond",(IF(AND(I47&gt;=5%,I47&lt;10%),"2 Diamond",(IF(AND(I47&gt;=1%,I47&lt;5%),"1 Diamond",(IF(AND(I47&gt;=0%,I47&lt;1%),"On Going Effort","N/A")))))))))))))))))</f>
        <v>N/A</v>
      </c>
    </row>
  </sheetData>
  <sheetProtection algorithmName="SHA-512" hashValue="Fyky1J9rRuEqtAn4DBecgQCG7CaXSHKDZPxIoNrRVcTvClGptzdNx2XYhBZdprYlSg51gvSTvb+lvbTYY5oUTQ==" saltValue="O3I5Qj88Y1L0JIsgp8gjEg==" spinCount="100000" sheet="1" selectLockedCells="1"/>
  <mergeCells count="12">
    <mergeCell ref="A43:I43"/>
    <mergeCell ref="A23:I23"/>
    <mergeCell ref="A11:C11"/>
    <mergeCell ref="A12:C12"/>
    <mergeCell ref="A13:C13"/>
    <mergeCell ref="A14:C14"/>
    <mergeCell ref="A15:C15"/>
    <mergeCell ref="D11:H11"/>
    <mergeCell ref="D12:H12"/>
    <mergeCell ref="D13:H13"/>
    <mergeCell ref="D14:H14"/>
    <mergeCell ref="D15:H15"/>
  </mergeCells>
  <pageMargins left="0.59055118110236227" right="0.34191176470588236" top="0.35433070866141736" bottom="0.35433070866141736" header="0.31496062992125984" footer="0.31496062992125984"/>
  <pageSetup paperSize="9" scale="9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639C4-F66B-40AC-9A68-CBC2125D886E}">
  <sheetPr codeName="Sheet4"/>
  <dimension ref="A1:R29"/>
  <sheetViews>
    <sheetView topLeftCell="A28" workbookViewId="0">
      <selection activeCell="A22" sqref="A1:XFD1048576"/>
    </sheetView>
  </sheetViews>
  <sheetFormatPr defaultRowHeight="15" x14ac:dyDescent="0.25"/>
  <cols>
    <col min="1" max="3" width="9.7109375" customWidth="1"/>
    <col min="4" max="17" width="11.85546875" customWidth="1"/>
  </cols>
  <sheetData>
    <row r="1" spans="1:13" ht="19.5" customHeight="1" thickBot="1" x14ac:dyDescent="0.3">
      <c r="A1" s="473"/>
      <c r="B1" s="473"/>
      <c r="C1" s="479" t="s">
        <v>88</v>
      </c>
      <c r="D1" s="479"/>
      <c r="E1" s="479"/>
      <c r="F1" s="479"/>
      <c r="G1" s="21" t="s">
        <v>85</v>
      </c>
      <c r="H1" s="473" t="s">
        <v>89</v>
      </c>
      <c r="I1" s="473"/>
    </row>
    <row r="2" spans="1:13" ht="19.5" customHeight="1" thickBot="1" x14ac:dyDescent="0.3">
      <c r="A2" s="473"/>
      <c r="B2" s="473"/>
      <c r="C2" s="479"/>
      <c r="D2" s="479"/>
      <c r="E2" s="479"/>
      <c r="F2" s="479"/>
      <c r="G2" s="21" t="s">
        <v>86</v>
      </c>
      <c r="H2" s="473">
        <v>0</v>
      </c>
      <c r="I2" s="473"/>
    </row>
    <row r="3" spans="1:13" ht="19.5" customHeight="1" thickBot="1" x14ac:dyDescent="0.3">
      <c r="A3" s="473"/>
      <c r="B3" s="473"/>
      <c r="C3" s="479"/>
      <c r="D3" s="479"/>
      <c r="E3" s="479"/>
      <c r="F3" s="479"/>
      <c r="G3" s="21" t="s">
        <v>87</v>
      </c>
      <c r="H3" s="478">
        <v>43252</v>
      </c>
      <c r="I3" s="478"/>
    </row>
    <row r="4" spans="1:13" ht="15.75" thickBot="1" x14ac:dyDescent="0.3"/>
    <row r="5" spans="1:13" ht="16.5" thickBot="1" x14ac:dyDescent="0.3">
      <c r="A5" s="475" t="s">
        <v>67</v>
      </c>
      <c r="B5" s="476"/>
      <c r="C5" s="476"/>
      <c r="D5" s="476"/>
      <c r="E5" s="476"/>
      <c r="F5" s="476"/>
      <c r="G5" s="476"/>
      <c r="H5" s="476"/>
      <c r="I5" s="477"/>
    </row>
    <row r="6" spans="1:13" x14ac:dyDescent="0.25">
      <c r="A6" s="468" t="s">
        <v>77</v>
      </c>
      <c r="B6" s="468"/>
      <c r="C6" s="468"/>
      <c r="D6" s="468"/>
      <c r="E6" s="468"/>
      <c r="F6" s="468"/>
      <c r="G6" s="468"/>
      <c r="H6" s="468"/>
      <c r="I6" s="468"/>
    </row>
    <row r="7" spans="1:13" x14ac:dyDescent="0.25">
      <c r="A7" s="469"/>
      <c r="B7" s="469"/>
      <c r="C7" s="469"/>
      <c r="D7" s="469"/>
      <c r="E7" s="469"/>
      <c r="F7" s="469"/>
      <c r="G7" s="469"/>
      <c r="H7" s="469"/>
      <c r="I7" s="469"/>
    </row>
    <row r="8" spans="1:13" x14ac:dyDescent="0.25">
      <c r="A8" s="469"/>
      <c r="B8" s="469"/>
      <c r="C8" s="469"/>
      <c r="D8" s="469"/>
      <c r="E8" s="469"/>
      <c r="F8" s="469"/>
      <c r="G8" s="469"/>
      <c r="H8" s="469"/>
      <c r="I8" s="469"/>
    </row>
    <row r="9" spans="1:13" x14ac:dyDescent="0.25">
      <c r="A9" s="469"/>
      <c r="B9" s="469"/>
      <c r="C9" s="469"/>
      <c r="D9" s="469"/>
      <c r="E9" s="469"/>
      <c r="F9" s="469"/>
      <c r="G9" s="469"/>
      <c r="H9" s="469"/>
      <c r="I9" s="469"/>
    </row>
    <row r="10" spans="1:13" x14ac:dyDescent="0.25">
      <c r="A10" s="469"/>
      <c r="B10" s="469"/>
      <c r="C10" s="469"/>
      <c r="D10" s="469"/>
      <c r="E10" s="469"/>
      <c r="F10" s="469"/>
      <c r="G10" s="469"/>
      <c r="H10" s="469"/>
      <c r="I10" s="469"/>
    </row>
    <row r="12" spans="1:13" x14ac:dyDescent="0.25">
      <c r="A12" s="470" t="s">
        <v>27</v>
      </c>
      <c r="B12" s="470"/>
      <c r="C12" s="470"/>
      <c r="D12" s="474" t="s">
        <v>83</v>
      </c>
      <c r="E12" s="474"/>
      <c r="F12" s="474"/>
      <c r="G12" s="474"/>
      <c r="H12" s="474"/>
      <c r="I12" s="474"/>
    </row>
    <row r="13" spans="1:13" x14ac:dyDescent="0.25">
      <c r="A13" s="470" t="s">
        <v>78</v>
      </c>
      <c r="B13" s="470"/>
      <c r="C13" s="470"/>
      <c r="D13" s="474" t="s">
        <v>84</v>
      </c>
      <c r="E13" s="474"/>
      <c r="F13" s="474"/>
      <c r="G13" s="474"/>
      <c r="H13" s="474"/>
      <c r="I13" s="474"/>
      <c r="K13" t="s">
        <v>98</v>
      </c>
      <c r="M13">
        <v>30000</v>
      </c>
    </row>
    <row r="14" spans="1:13" x14ac:dyDescent="0.25">
      <c r="A14" s="470" t="s">
        <v>0</v>
      </c>
      <c r="B14" s="470"/>
      <c r="C14" s="470"/>
      <c r="D14" s="474"/>
      <c r="E14" s="474"/>
      <c r="F14" s="474"/>
      <c r="G14" s="474"/>
      <c r="H14" s="474"/>
      <c r="I14" s="474"/>
      <c r="K14" t="s">
        <v>99</v>
      </c>
      <c r="M14">
        <v>50000</v>
      </c>
    </row>
    <row r="15" spans="1:13" x14ac:dyDescent="0.25">
      <c r="A15" s="470" t="s">
        <v>37</v>
      </c>
      <c r="B15" s="470"/>
      <c r="C15" s="470"/>
      <c r="D15" s="474"/>
      <c r="E15" s="474"/>
      <c r="F15" s="474"/>
      <c r="G15" s="474"/>
      <c r="H15" s="474"/>
      <c r="I15" s="474"/>
      <c r="K15" t="s">
        <v>102</v>
      </c>
      <c r="M15">
        <f>((M14-M13)/M13)</f>
        <v>0.66666666666666663</v>
      </c>
    </row>
    <row r="16" spans="1:13" x14ac:dyDescent="0.25">
      <c r="A16" s="470" t="s">
        <v>29</v>
      </c>
      <c r="B16" s="470"/>
      <c r="C16" s="470"/>
      <c r="D16" s="474"/>
      <c r="E16" s="474"/>
      <c r="F16" s="474"/>
      <c r="G16" s="474"/>
      <c r="H16" s="474"/>
      <c r="I16" s="474"/>
      <c r="K16" t="s">
        <v>100</v>
      </c>
      <c r="M16">
        <f>(Q21-D21)</f>
        <v>13</v>
      </c>
    </row>
    <row r="17" spans="1:18" x14ac:dyDescent="0.25">
      <c r="K17" t="s">
        <v>101</v>
      </c>
      <c r="M17" s="35">
        <f>(M15/M16)</f>
        <v>5.128205128205128E-2</v>
      </c>
    </row>
    <row r="18" spans="1:18" x14ac:dyDescent="0.25">
      <c r="A18" s="1" t="s">
        <v>79</v>
      </c>
      <c r="D18">
        <v>30000</v>
      </c>
      <c r="E18" s="36">
        <f>($D$18*(1+($M$17*E19)))</f>
        <v>31538.461538461539</v>
      </c>
      <c r="F18" s="36">
        <f t="shared" ref="F18:Q18" si="0">($D$18*(1+($M$17*F19)))</f>
        <v>33076.923076923078</v>
      </c>
      <c r="G18" s="36">
        <f t="shared" si="0"/>
        <v>34615.38461538461</v>
      </c>
      <c r="H18" s="36">
        <f t="shared" si="0"/>
        <v>36153.846153846149</v>
      </c>
      <c r="I18" s="36">
        <f t="shared" si="0"/>
        <v>37692.307692307695</v>
      </c>
      <c r="J18" s="36">
        <f t="shared" si="0"/>
        <v>39230.769230769234</v>
      </c>
      <c r="K18" s="36">
        <f t="shared" si="0"/>
        <v>40769.230769230773</v>
      </c>
      <c r="L18" s="36">
        <f t="shared" si="0"/>
        <v>42307.692307692305</v>
      </c>
      <c r="M18" s="36">
        <f t="shared" si="0"/>
        <v>43846.153846153844</v>
      </c>
      <c r="N18" s="36">
        <f t="shared" si="0"/>
        <v>45384.615384615383</v>
      </c>
      <c r="O18" s="36">
        <f t="shared" si="0"/>
        <v>46923.076923076922</v>
      </c>
      <c r="P18" s="36">
        <f t="shared" si="0"/>
        <v>48461.538461538461</v>
      </c>
      <c r="Q18" s="36">
        <f t="shared" si="0"/>
        <v>49999.999999999993</v>
      </c>
      <c r="R18" s="36"/>
    </row>
    <row r="19" spans="1:18" x14ac:dyDescent="0.25">
      <c r="A19" s="1"/>
      <c r="D19">
        <v>0</v>
      </c>
      <c r="E19" s="36">
        <v>1</v>
      </c>
      <c r="F19" s="36">
        <v>2</v>
      </c>
      <c r="G19" s="36">
        <v>3</v>
      </c>
      <c r="H19" s="36">
        <v>4</v>
      </c>
      <c r="I19" s="36">
        <v>5</v>
      </c>
      <c r="J19" s="36">
        <v>6</v>
      </c>
      <c r="K19" s="36">
        <v>7</v>
      </c>
      <c r="L19" s="36">
        <v>8</v>
      </c>
      <c r="M19" s="36">
        <v>9</v>
      </c>
      <c r="N19" s="36">
        <v>10</v>
      </c>
      <c r="O19" s="36">
        <v>11</v>
      </c>
      <c r="P19" s="36">
        <v>12</v>
      </c>
      <c r="Q19" s="36">
        <v>13</v>
      </c>
      <c r="R19" s="36"/>
    </row>
    <row r="20" spans="1:18" x14ac:dyDescent="0.25">
      <c r="C20" s="471" t="s">
        <v>96</v>
      </c>
      <c r="D20" s="471"/>
    </row>
    <row r="21" spans="1:18" x14ac:dyDescent="0.25">
      <c r="B21" s="32" t="s">
        <v>90</v>
      </c>
      <c r="C21" s="32" t="s">
        <v>55</v>
      </c>
      <c r="D21" s="32">
        <v>2015</v>
      </c>
      <c r="E21" s="32">
        <f>C23+1</f>
        <v>2016</v>
      </c>
      <c r="F21" s="32">
        <f>E21+1</f>
        <v>2017</v>
      </c>
      <c r="G21" s="32">
        <f t="shared" ref="G21:Q21" si="1">F21+1</f>
        <v>2018</v>
      </c>
      <c r="H21" s="32">
        <f t="shared" si="1"/>
        <v>2019</v>
      </c>
      <c r="I21" s="32">
        <f t="shared" si="1"/>
        <v>2020</v>
      </c>
      <c r="J21" s="32">
        <f t="shared" si="1"/>
        <v>2021</v>
      </c>
      <c r="K21" s="32">
        <f t="shared" si="1"/>
        <v>2022</v>
      </c>
      <c r="L21" s="32">
        <f t="shared" si="1"/>
        <v>2023</v>
      </c>
      <c r="M21" s="32">
        <f t="shared" si="1"/>
        <v>2024</v>
      </c>
      <c r="N21" s="32">
        <f t="shared" si="1"/>
        <v>2025</v>
      </c>
      <c r="O21" s="32">
        <f t="shared" si="1"/>
        <v>2026</v>
      </c>
      <c r="P21" s="32">
        <f t="shared" si="1"/>
        <v>2027</v>
      </c>
      <c r="Q21" s="32">
        <f t="shared" si="1"/>
        <v>2028</v>
      </c>
    </row>
    <row r="22" spans="1:18" x14ac:dyDescent="0.25">
      <c r="B22" s="32" t="s">
        <v>97</v>
      </c>
      <c r="C22" s="32"/>
      <c r="D22" s="34">
        <f>D29</f>
        <v>1391.9323818</v>
      </c>
      <c r="E22" s="34">
        <f>($D$22*(1+($M$17*E19)))</f>
        <v>1463.3135295846155</v>
      </c>
      <c r="F22" s="34">
        <f t="shared" ref="F22:Q22" si="2">($D$22*(1+($M$17*F19)))</f>
        <v>1534.6946773692309</v>
      </c>
      <c r="G22" s="34">
        <f t="shared" si="2"/>
        <v>1606.0758251538462</v>
      </c>
      <c r="H22" s="34">
        <f t="shared" si="2"/>
        <v>1677.4569729384614</v>
      </c>
      <c r="I22" s="34">
        <f t="shared" si="2"/>
        <v>1748.8381207230768</v>
      </c>
      <c r="J22" s="34">
        <f t="shared" si="2"/>
        <v>1820.2192685076923</v>
      </c>
      <c r="K22" s="34">
        <f t="shared" si="2"/>
        <v>1891.6004162923077</v>
      </c>
      <c r="L22" s="34">
        <f t="shared" si="2"/>
        <v>1962.981564076923</v>
      </c>
      <c r="M22" s="34">
        <f t="shared" si="2"/>
        <v>2034.3627118615384</v>
      </c>
      <c r="N22" s="34">
        <f t="shared" si="2"/>
        <v>2105.7438596461539</v>
      </c>
      <c r="O22" s="34">
        <f t="shared" si="2"/>
        <v>2177.1250074307691</v>
      </c>
      <c r="P22" s="34">
        <f t="shared" si="2"/>
        <v>2248.5061552153848</v>
      </c>
      <c r="Q22" s="34">
        <f t="shared" si="2"/>
        <v>2319.887303</v>
      </c>
    </row>
    <row r="23" spans="1:18" x14ac:dyDescent="0.25">
      <c r="A23" s="23" t="s">
        <v>80</v>
      </c>
      <c r="B23" s="23" t="str">
        <f>Energy!D9</f>
        <v>Actual</v>
      </c>
      <c r="C23">
        <v>2015</v>
      </c>
      <c r="D23" s="31">
        <v>923</v>
      </c>
      <c r="E23" s="31">
        <v>920</v>
      </c>
      <c r="F23" s="31">
        <v>917</v>
      </c>
      <c r="G23" s="31">
        <v>914</v>
      </c>
      <c r="H23" s="31">
        <v>911</v>
      </c>
      <c r="I23" s="31">
        <v>908</v>
      </c>
      <c r="J23" s="31">
        <v>905</v>
      </c>
      <c r="K23" s="31">
        <v>902</v>
      </c>
      <c r="L23" s="31">
        <v>899</v>
      </c>
      <c r="M23" s="31">
        <v>896</v>
      </c>
      <c r="N23" s="31">
        <v>893</v>
      </c>
      <c r="O23" s="31">
        <v>890</v>
      </c>
      <c r="P23" s="31">
        <v>887</v>
      </c>
      <c r="Q23" s="31">
        <v>884</v>
      </c>
    </row>
    <row r="24" spans="1:18" x14ac:dyDescent="0.25">
      <c r="A24" s="23" t="s">
        <v>2</v>
      </c>
      <c r="B24" s="23" t="str">
        <f>Water!D9</f>
        <v>Actual</v>
      </c>
      <c r="C24">
        <v>2017</v>
      </c>
      <c r="D24" s="31"/>
      <c r="E24" s="31"/>
      <c r="F24" s="31">
        <v>60</v>
      </c>
      <c r="G24" s="31">
        <v>65</v>
      </c>
      <c r="H24" s="31">
        <v>70</v>
      </c>
      <c r="I24" s="31">
        <v>75</v>
      </c>
      <c r="J24" s="31">
        <v>80</v>
      </c>
      <c r="K24" s="31">
        <v>85</v>
      </c>
      <c r="L24" s="31">
        <v>90</v>
      </c>
      <c r="M24" s="31">
        <v>95</v>
      </c>
      <c r="N24" s="31">
        <v>100</v>
      </c>
      <c r="O24" s="31">
        <v>105</v>
      </c>
      <c r="P24" s="31">
        <v>110</v>
      </c>
      <c r="Q24" s="31">
        <v>115</v>
      </c>
    </row>
    <row r="25" spans="1:18" x14ac:dyDescent="0.25">
      <c r="A25" s="23" t="s">
        <v>91</v>
      </c>
      <c r="B25" s="23" t="str">
        <f>'Waste 1 - Actual'!D9</f>
        <v>Actual</v>
      </c>
      <c r="D25" s="31">
        <f>'Waste 1 - Actual'!D28</f>
        <v>812.93238180000003</v>
      </c>
      <c r="E25" s="31"/>
      <c r="F25" s="31"/>
      <c r="G25" s="31"/>
      <c r="H25" s="31"/>
      <c r="I25" s="31"/>
      <c r="J25" s="31"/>
      <c r="K25" s="31"/>
      <c r="L25" s="31"/>
      <c r="M25" s="31"/>
      <c r="N25" s="31"/>
      <c r="O25" s="31"/>
      <c r="P25" s="31"/>
      <c r="Q25" s="31"/>
    </row>
    <row r="26" spans="1:18" x14ac:dyDescent="0.25">
      <c r="A26" s="23" t="s">
        <v>92</v>
      </c>
      <c r="B26" s="23" t="str">
        <f>'Waste 2 - Estimate'!C9</f>
        <v>Estimate</v>
      </c>
      <c r="C26">
        <v>2018</v>
      </c>
      <c r="D26" s="31"/>
      <c r="E26" s="31"/>
      <c r="F26" s="31"/>
      <c r="G26" s="31">
        <v>44</v>
      </c>
      <c r="H26" s="31">
        <v>43</v>
      </c>
      <c r="I26" s="31">
        <v>42</v>
      </c>
      <c r="J26" s="31">
        <v>41</v>
      </c>
      <c r="K26" s="31">
        <v>40</v>
      </c>
      <c r="L26" s="31">
        <v>39</v>
      </c>
      <c r="M26" s="31">
        <v>38</v>
      </c>
      <c r="N26" s="31">
        <v>37</v>
      </c>
      <c r="O26" s="31">
        <v>36</v>
      </c>
      <c r="P26" s="31">
        <v>35</v>
      </c>
      <c r="Q26" s="31">
        <v>34</v>
      </c>
    </row>
    <row r="27" spans="1:18" x14ac:dyDescent="0.25">
      <c r="A27" s="23" t="s">
        <v>93</v>
      </c>
      <c r="B27" s="23" t="str">
        <f>'Greenery '!C9</f>
        <v>Actual</v>
      </c>
      <c r="C27">
        <v>2015</v>
      </c>
      <c r="D27" s="31">
        <v>-344</v>
      </c>
      <c r="E27" s="31">
        <v>-349</v>
      </c>
      <c r="F27" s="31">
        <v>-354</v>
      </c>
      <c r="G27" s="31">
        <v>-359</v>
      </c>
      <c r="H27" s="31">
        <v>-364</v>
      </c>
      <c r="I27" s="31">
        <v>-369</v>
      </c>
      <c r="J27" s="31">
        <v>-374</v>
      </c>
      <c r="K27" s="31">
        <v>-379</v>
      </c>
      <c r="L27" s="31">
        <v>-384</v>
      </c>
      <c r="M27" s="31">
        <v>-389</v>
      </c>
      <c r="N27" s="31">
        <v>-394</v>
      </c>
      <c r="O27" s="31">
        <v>-399</v>
      </c>
      <c r="P27" s="31">
        <v>-404</v>
      </c>
      <c r="Q27" s="31">
        <v>-409</v>
      </c>
    </row>
    <row r="28" spans="1:18" x14ac:dyDescent="0.25">
      <c r="A28" s="23" t="s">
        <v>94</v>
      </c>
      <c r="B28" s="23" t="e">
        <f>#REF!</f>
        <v>#REF!</v>
      </c>
      <c r="C28">
        <v>2019</v>
      </c>
      <c r="D28" s="31"/>
      <c r="E28" s="31"/>
      <c r="F28" s="31"/>
      <c r="G28" s="31"/>
      <c r="H28" s="31">
        <v>320</v>
      </c>
      <c r="I28" s="31">
        <v>315</v>
      </c>
      <c r="J28" s="31">
        <v>310</v>
      </c>
      <c r="K28" s="31">
        <v>305</v>
      </c>
      <c r="L28" s="31">
        <v>300</v>
      </c>
      <c r="M28" s="31">
        <v>295</v>
      </c>
      <c r="N28" s="31">
        <v>290</v>
      </c>
      <c r="O28" s="31">
        <v>285</v>
      </c>
      <c r="P28" s="31">
        <v>280</v>
      </c>
      <c r="Q28" s="31">
        <v>275</v>
      </c>
    </row>
    <row r="29" spans="1:18" x14ac:dyDescent="0.25">
      <c r="B29" s="472" t="s">
        <v>95</v>
      </c>
      <c r="C29" s="472"/>
      <c r="D29" s="33">
        <f t="shared" ref="D29:Q29" si="3">SUM(D23:D28)</f>
        <v>1391.9323818</v>
      </c>
      <c r="E29" s="33">
        <f t="shared" si="3"/>
        <v>571</v>
      </c>
      <c r="F29" s="33">
        <f t="shared" si="3"/>
        <v>623</v>
      </c>
      <c r="G29" s="33">
        <f t="shared" si="3"/>
        <v>664</v>
      </c>
      <c r="H29" s="33">
        <f t="shared" si="3"/>
        <v>980</v>
      </c>
      <c r="I29" s="33">
        <f t="shared" si="3"/>
        <v>971</v>
      </c>
      <c r="J29" s="33">
        <f t="shared" si="3"/>
        <v>962</v>
      </c>
      <c r="K29" s="33">
        <f t="shared" si="3"/>
        <v>953</v>
      </c>
      <c r="L29" s="33">
        <f t="shared" si="3"/>
        <v>944</v>
      </c>
      <c r="M29" s="33">
        <f t="shared" si="3"/>
        <v>935</v>
      </c>
      <c r="N29" s="33">
        <f t="shared" si="3"/>
        <v>926</v>
      </c>
      <c r="O29" s="33">
        <f t="shared" si="3"/>
        <v>917</v>
      </c>
      <c r="P29" s="33">
        <f t="shared" si="3"/>
        <v>908</v>
      </c>
      <c r="Q29" s="33">
        <f t="shared" si="3"/>
        <v>899</v>
      </c>
    </row>
  </sheetData>
  <mergeCells count="19">
    <mergeCell ref="A5:I5"/>
    <mergeCell ref="A1:B3"/>
    <mergeCell ref="C1:F3"/>
    <mergeCell ref="H1:I1"/>
    <mergeCell ref="H2:I2"/>
    <mergeCell ref="H3:I3"/>
    <mergeCell ref="B29:C29"/>
    <mergeCell ref="A6:I10"/>
    <mergeCell ref="A12:C12"/>
    <mergeCell ref="D12:I12"/>
    <mergeCell ref="A13:C13"/>
    <mergeCell ref="D13:I13"/>
    <mergeCell ref="A14:C14"/>
    <mergeCell ref="D14:I14"/>
    <mergeCell ref="A15:C15"/>
    <mergeCell ref="D15:I15"/>
    <mergeCell ref="A16:C16"/>
    <mergeCell ref="D16:I16"/>
    <mergeCell ref="C20:D2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C8D07-EF9B-4F37-A0A9-4DBD6D4BCBCB}">
  <sheetPr codeName="Sheet6"/>
  <dimension ref="A1:Q30"/>
  <sheetViews>
    <sheetView view="pageLayout" zoomScale="85" zoomScaleNormal="100" zoomScalePageLayoutView="85" workbookViewId="0">
      <selection activeCell="D21" sqref="D21"/>
    </sheetView>
  </sheetViews>
  <sheetFormatPr defaultRowHeight="15" x14ac:dyDescent="0.25"/>
  <cols>
    <col min="1" max="1" width="4.85546875" customWidth="1"/>
    <col min="2" max="2" width="24" customWidth="1"/>
    <col min="3" max="3" width="6.5703125" customWidth="1"/>
    <col min="4" max="17" width="12.140625" customWidth="1"/>
  </cols>
  <sheetData>
    <row r="1" spans="1:17" ht="16.5" thickBot="1" x14ac:dyDescent="0.3">
      <c r="A1" s="475" t="s">
        <v>132</v>
      </c>
      <c r="B1" s="476"/>
      <c r="C1" s="476"/>
      <c r="D1" s="476"/>
      <c r="E1" s="476"/>
      <c r="F1" s="476"/>
      <c r="G1" s="476"/>
      <c r="H1" s="477"/>
    </row>
    <row r="3" spans="1:17" x14ac:dyDescent="0.25">
      <c r="A3" s="470" t="s">
        <v>27</v>
      </c>
      <c r="B3" s="470"/>
      <c r="C3" s="470"/>
      <c r="D3" s="491" t="str">
        <f>'Summary (Main)'!D11:H11</f>
        <v>LCC-Z-B090-XX-XXXX</v>
      </c>
      <c r="E3" s="491"/>
      <c r="F3" s="491"/>
      <c r="G3" s="491"/>
      <c r="H3" s="491"/>
    </row>
    <row r="4" spans="1:17" x14ac:dyDescent="0.25">
      <c r="A4" s="470" t="s">
        <v>78</v>
      </c>
      <c r="B4" s="470"/>
      <c r="C4" s="470"/>
      <c r="D4" s="491" t="str">
        <f>'Summary (Main)'!D12:H12</f>
        <v>MAJLIS PERBANDARAN XXY</v>
      </c>
      <c r="E4" s="491"/>
      <c r="F4" s="491"/>
      <c r="G4" s="491"/>
      <c r="H4" s="491"/>
    </row>
    <row r="5" spans="1:17" x14ac:dyDescent="0.25">
      <c r="A5" s="470" t="s">
        <v>0</v>
      </c>
      <c r="B5" s="470"/>
      <c r="C5" s="470"/>
      <c r="D5" s="491" t="str">
        <f>'Summary (Main)'!D13:H13</f>
        <v>MAJLIS PERBANDARAN XXY</v>
      </c>
      <c r="E5" s="491"/>
      <c r="F5" s="491"/>
      <c r="G5" s="491"/>
      <c r="H5" s="491"/>
    </row>
    <row r="6" spans="1:17" x14ac:dyDescent="0.25">
      <c r="A6" s="470" t="s">
        <v>129</v>
      </c>
      <c r="B6" s="470"/>
      <c r="C6" s="470"/>
      <c r="D6" s="491">
        <f>'Summary (Main)'!D14:H14</f>
        <v>77432</v>
      </c>
      <c r="E6" s="491"/>
      <c r="F6" s="491"/>
      <c r="G6" s="491"/>
      <c r="H6" s="491"/>
    </row>
    <row r="7" spans="1:17" x14ac:dyDescent="0.25">
      <c r="A7" s="470" t="s">
        <v>137</v>
      </c>
      <c r="B7" s="470"/>
      <c r="C7" s="470"/>
      <c r="D7" s="491">
        <f>'Summary (Main)'!D15:H15</f>
        <v>451.36</v>
      </c>
      <c r="E7" s="491"/>
      <c r="F7" s="491"/>
      <c r="G7" s="491"/>
      <c r="H7" s="491"/>
    </row>
    <row r="8" spans="1:17" x14ac:dyDescent="0.25">
      <c r="A8" s="5"/>
      <c r="B8" s="5"/>
      <c r="C8" s="5"/>
    </row>
    <row r="9" spans="1:17" x14ac:dyDescent="0.25">
      <c r="A9" s="492" t="s">
        <v>7</v>
      </c>
      <c r="B9" s="492"/>
      <c r="C9" s="23"/>
      <c r="D9" s="29" t="s">
        <v>8</v>
      </c>
      <c r="E9" s="492" t="s">
        <v>12</v>
      </c>
      <c r="F9" s="492"/>
      <c r="G9" s="501" t="s">
        <v>13</v>
      </c>
      <c r="H9" s="502"/>
    </row>
    <row r="10" spans="1:17" x14ac:dyDescent="0.25">
      <c r="A10" s="492" t="s">
        <v>6</v>
      </c>
      <c r="B10" s="492"/>
      <c r="C10" s="23"/>
      <c r="D10" s="503" t="s">
        <v>41</v>
      </c>
      <c r="E10" s="504"/>
      <c r="F10" s="504"/>
      <c r="G10" s="504"/>
      <c r="H10" s="504"/>
    </row>
    <row r="11" spans="1:17" x14ac:dyDescent="0.25">
      <c r="A11" s="22" t="s">
        <v>9</v>
      </c>
      <c r="B11" s="23"/>
      <c r="C11" s="23"/>
      <c r="D11" s="14">
        <v>0.69399999999999995</v>
      </c>
      <c r="E11" s="9" t="s">
        <v>10</v>
      </c>
      <c r="F11" s="505" t="s">
        <v>312</v>
      </c>
      <c r="G11" s="506"/>
      <c r="H11" s="506"/>
    </row>
    <row r="12" spans="1:17" x14ac:dyDescent="0.25">
      <c r="D12" s="56">
        <v>0.69399999999999995</v>
      </c>
      <c r="E12" s="2" t="s">
        <v>142</v>
      </c>
      <c r="F12" s="507"/>
      <c r="G12" s="508"/>
      <c r="H12" s="508"/>
    </row>
    <row r="13" spans="1:17" x14ac:dyDescent="0.25">
      <c r="A13" s="498" t="s">
        <v>11</v>
      </c>
      <c r="B13" s="498"/>
      <c r="C13" s="498"/>
      <c r="D13" s="498"/>
      <c r="H13" s="3"/>
      <c r="I13" s="3"/>
    </row>
    <row r="14" spans="1:17" x14ac:dyDescent="0.25">
      <c r="D14" s="10" t="s">
        <v>28</v>
      </c>
      <c r="E14" s="7"/>
    </row>
    <row r="15" spans="1:17" ht="15.75" thickBot="1" x14ac:dyDescent="0.3">
      <c r="A15" s="25" t="s">
        <v>1</v>
      </c>
      <c r="B15" s="26" t="s">
        <v>146</v>
      </c>
      <c r="C15" s="25" t="s">
        <v>30</v>
      </c>
      <c r="D15" s="265">
        <f>'Summary (Main)'!C25</f>
        <v>2017</v>
      </c>
      <c r="E15" s="266">
        <f>D15+1</f>
        <v>2018</v>
      </c>
      <c r="F15" s="266">
        <f>E15+1</f>
        <v>2019</v>
      </c>
      <c r="G15" s="266">
        <f>F15+1</f>
        <v>2020</v>
      </c>
      <c r="H15" s="266">
        <f>G15+1</f>
        <v>2021</v>
      </c>
      <c r="I15" s="266">
        <f>H15+1</f>
        <v>2022</v>
      </c>
      <c r="J15" s="266">
        <f t="shared" ref="J15:O15" si="0">I15+1</f>
        <v>2023</v>
      </c>
      <c r="K15" s="266">
        <f t="shared" si="0"/>
        <v>2024</v>
      </c>
      <c r="L15" s="266">
        <f t="shared" si="0"/>
        <v>2025</v>
      </c>
      <c r="M15" s="266">
        <f t="shared" si="0"/>
        <v>2026</v>
      </c>
      <c r="N15" s="266">
        <f t="shared" si="0"/>
        <v>2027</v>
      </c>
      <c r="O15" s="266">
        <f t="shared" si="0"/>
        <v>2028</v>
      </c>
      <c r="P15" s="266">
        <f>O15+1</f>
        <v>2029</v>
      </c>
      <c r="Q15" s="266">
        <f>P15+1</f>
        <v>2030</v>
      </c>
    </row>
    <row r="16" spans="1:17" ht="15.75" thickTop="1" x14ac:dyDescent="0.25">
      <c r="A16" s="341">
        <v>1</v>
      </c>
      <c r="B16" s="342" t="s">
        <v>160</v>
      </c>
      <c r="C16" s="343" t="s">
        <v>15</v>
      </c>
      <c r="D16" s="389">
        <f>1213451</f>
        <v>1213451</v>
      </c>
      <c r="E16" s="390">
        <v>1344223</v>
      </c>
      <c r="F16" s="391">
        <v>1266393</v>
      </c>
      <c r="G16" s="347"/>
      <c r="H16" s="347"/>
      <c r="I16" s="347"/>
      <c r="J16" s="347"/>
      <c r="K16" s="347"/>
      <c r="L16" s="347"/>
      <c r="M16" s="347"/>
      <c r="N16" s="347"/>
      <c r="O16" s="347"/>
      <c r="P16" s="347"/>
      <c r="Q16" s="392"/>
    </row>
    <row r="17" spans="1:17" x14ac:dyDescent="0.25">
      <c r="A17" s="341">
        <v>2</v>
      </c>
      <c r="B17" s="342" t="s">
        <v>161</v>
      </c>
      <c r="C17" s="343" t="s">
        <v>15</v>
      </c>
      <c r="D17" s="393">
        <v>461910</v>
      </c>
      <c r="E17" s="394">
        <v>659070</v>
      </c>
      <c r="F17" s="395">
        <v>712210</v>
      </c>
      <c r="G17" s="348"/>
      <c r="H17" s="348"/>
      <c r="I17" s="348"/>
      <c r="J17" s="348"/>
      <c r="K17" s="348"/>
      <c r="L17" s="348"/>
      <c r="M17" s="348"/>
      <c r="N17" s="348"/>
      <c r="O17" s="348"/>
      <c r="P17" s="348"/>
      <c r="Q17" s="396"/>
    </row>
    <row r="18" spans="1:17" x14ac:dyDescent="0.25">
      <c r="A18" s="341">
        <v>3</v>
      </c>
      <c r="B18" s="342" t="s">
        <v>144</v>
      </c>
      <c r="C18" s="343" t="s">
        <v>15</v>
      </c>
      <c r="D18" s="393">
        <v>336791</v>
      </c>
      <c r="E18" s="395">
        <v>308874</v>
      </c>
      <c r="F18" s="395">
        <v>310791</v>
      </c>
      <c r="G18" s="348"/>
      <c r="H18" s="348"/>
      <c r="I18" s="348"/>
      <c r="J18" s="348"/>
      <c r="K18" s="348"/>
      <c r="L18" s="348"/>
      <c r="M18" s="348"/>
      <c r="N18" s="348"/>
      <c r="O18" s="348"/>
      <c r="P18" s="348"/>
      <c r="Q18" s="396"/>
    </row>
    <row r="19" spans="1:17" x14ac:dyDescent="0.25">
      <c r="A19" s="341">
        <v>4</v>
      </c>
      <c r="B19" s="342" t="s">
        <v>162</v>
      </c>
      <c r="C19" s="343" t="s">
        <v>15</v>
      </c>
      <c r="D19" s="393">
        <f>217824+200004+219960</f>
        <v>637788</v>
      </c>
      <c r="E19" s="395">
        <f>225704+219957+238232.75</f>
        <v>683893.75</v>
      </c>
      <c r="F19" s="395">
        <f>233588+197754+160298</f>
        <v>591640</v>
      </c>
      <c r="G19" s="348"/>
      <c r="H19" s="348"/>
      <c r="I19" s="348"/>
      <c r="J19" s="348"/>
      <c r="K19" s="348"/>
      <c r="L19" s="348"/>
      <c r="M19" s="348"/>
      <c r="N19" s="348"/>
      <c r="O19" s="348"/>
      <c r="P19" s="348"/>
      <c r="Q19" s="396"/>
    </row>
    <row r="20" spans="1:17" x14ac:dyDescent="0.25">
      <c r="A20" s="341">
        <v>5</v>
      </c>
      <c r="B20" s="342"/>
      <c r="C20" s="343" t="s">
        <v>15</v>
      </c>
      <c r="D20" s="349"/>
      <c r="E20" s="350"/>
      <c r="F20" s="348"/>
      <c r="G20" s="348"/>
      <c r="H20" s="348"/>
      <c r="I20" s="348"/>
      <c r="J20" s="348"/>
      <c r="K20" s="348"/>
      <c r="L20" s="348"/>
      <c r="M20" s="348"/>
      <c r="N20" s="348"/>
      <c r="O20" s="348"/>
      <c r="P20" s="348"/>
      <c r="Q20" s="396"/>
    </row>
    <row r="21" spans="1:17" x14ac:dyDescent="0.25">
      <c r="A21" s="341">
        <v>6</v>
      </c>
      <c r="B21" s="342"/>
      <c r="C21" s="343" t="s">
        <v>15</v>
      </c>
      <c r="D21" s="349"/>
      <c r="E21" s="350"/>
      <c r="F21" s="348"/>
      <c r="G21" s="348"/>
      <c r="H21" s="348"/>
      <c r="I21" s="348"/>
      <c r="J21" s="348"/>
      <c r="K21" s="348"/>
      <c r="L21" s="348"/>
      <c r="M21" s="348"/>
      <c r="N21" s="348"/>
      <c r="O21" s="348"/>
      <c r="P21" s="348"/>
      <c r="Q21" s="396"/>
    </row>
    <row r="22" spans="1:17" x14ac:dyDescent="0.25">
      <c r="A22" s="341">
        <v>7</v>
      </c>
      <c r="B22" s="342"/>
      <c r="C22" s="343" t="s">
        <v>15</v>
      </c>
      <c r="D22" s="349"/>
      <c r="E22" s="350"/>
      <c r="F22" s="348"/>
      <c r="G22" s="348"/>
      <c r="H22" s="348"/>
      <c r="I22" s="348"/>
      <c r="J22" s="348"/>
      <c r="K22" s="348"/>
      <c r="L22" s="348"/>
      <c r="M22" s="348"/>
      <c r="N22" s="348"/>
      <c r="O22" s="348"/>
      <c r="P22" s="348"/>
      <c r="Q22" s="396"/>
    </row>
    <row r="23" spans="1:17" x14ac:dyDescent="0.25">
      <c r="A23" s="341">
        <v>8</v>
      </c>
      <c r="B23" s="342"/>
      <c r="C23" s="343" t="s">
        <v>15</v>
      </c>
      <c r="D23" s="349"/>
      <c r="E23" s="350"/>
      <c r="F23" s="348"/>
      <c r="G23" s="348"/>
      <c r="H23" s="348"/>
      <c r="I23" s="348"/>
      <c r="J23" s="348"/>
      <c r="K23" s="348"/>
      <c r="L23" s="348"/>
      <c r="M23" s="348"/>
      <c r="N23" s="348"/>
      <c r="O23" s="348"/>
      <c r="P23" s="348"/>
      <c r="Q23" s="396"/>
    </row>
    <row r="24" spans="1:17" x14ac:dyDescent="0.25">
      <c r="A24" s="341">
        <v>9</v>
      </c>
      <c r="B24" s="342"/>
      <c r="C24" s="343" t="s">
        <v>15</v>
      </c>
      <c r="D24" s="349"/>
      <c r="E24" s="350"/>
      <c r="F24" s="348"/>
      <c r="G24" s="348"/>
      <c r="H24" s="348"/>
      <c r="I24" s="348"/>
      <c r="J24" s="348"/>
      <c r="K24" s="348"/>
      <c r="L24" s="348"/>
      <c r="M24" s="348"/>
      <c r="N24" s="348"/>
      <c r="O24" s="348"/>
      <c r="P24" s="348"/>
      <c r="Q24" s="396"/>
    </row>
    <row r="25" spans="1:17" x14ac:dyDescent="0.25">
      <c r="A25" s="341">
        <v>10</v>
      </c>
      <c r="B25" s="342"/>
      <c r="C25" s="343" t="s">
        <v>15</v>
      </c>
      <c r="D25" s="349"/>
      <c r="E25" s="350"/>
      <c r="F25" s="348"/>
      <c r="G25" s="348"/>
      <c r="H25" s="348"/>
      <c r="I25" s="348"/>
      <c r="J25" s="348"/>
      <c r="K25" s="348"/>
      <c r="L25" s="348"/>
      <c r="M25" s="348"/>
      <c r="N25" s="348"/>
      <c r="O25" s="348"/>
      <c r="P25" s="348"/>
      <c r="Q25" s="396"/>
    </row>
    <row r="26" spans="1:17" ht="15.75" thickBot="1" x14ac:dyDescent="0.3">
      <c r="A26" s="345" t="s">
        <v>275</v>
      </c>
      <c r="B26" s="345"/>
      <c r="C26" s="346"/>
      <c r="D26" s="351"/>
      <c r="E26" s="352"/>
      <c r="F26" s="353"/>
      <c r="G26" s="353"/>
      <c r="H26" s="353"/>
      <c r="I26" s="353"/>
      <c r="J26" s="353"/>
      <c r="K26" s="353"/>
      <c r="L26" s="353"/>
      <c r="M26" s="353"/>
      <c r="N26" s="353"/>
      <c r="O26" s="353"/>
      <c r="P26" s="353"/>
      <c r="Q26" s="397"/>
    </row>
    <row r="27" spans="1:17" ht="15.75" thickTop="1" x14ac:dyDescent="0.25">
      <c r="A27" s="494" t="s">
        <v>3</v>
      </c>
      <c r="B27" s="495"/>
      <c r="C27" s="25" t="s">
        <v>31</v>
      </c>
      <c r="D27" s="267">
        <f t="shared" ref="D27:Q27" si="1">SUM(D16:D26)/1000</f>
        <v>2649.94</v>
      </c>
      <c r="E27" s="268">
        <f t="shared" si="1"/>
        <v>2996.0607500000001</v>
      </c>
      <c r="F27" s="268">
        <f t="shared" si="1"/>
        <v>2881.0340000000001</v>
      </c>
      <c r="G27" s="268">
        <f t="shared" si="1"/>
        <v>0</v>
      </c>
      <c r="H27" s="268">
        <f t="shared" si="1"/>
        <v>0</v>
      </c>
      <c r="I27" s="269">
        <f t="shared" si="1"/>
        <v>0</v>
      </c>
      <c r="J27" s="269">
        <f t="shared" si="1"/>
        <v>0</v>
      </c>
      <c r="K27" s="269">
        <f t="shared" si="1"/>
        <v>0</v>
      </c>
      <c r="L27" s="269">
        <f t="shared" si="1"/>
        <v>0</v>
      </c>
      <c r="M27" s="269">
        <f t="shared" si="1"/>
        <v>0</v>
      </c>
      <c r="N27" s="269">
        <f t="shared" si="1"/>
        <v>0</v>
      </c>
      <c r="O27" s="269">
        <f t="shared" si="1"/>
        <v>0</v>
      </c>
      <c r="P27" s="269">
        <f t="shared" si="1"/>
        <v>0</v>
      </c>
      <c r="Q27" s="269">
        <f t="shared" si="1"/>
        <v>0</v>
      </c>
    </row>
    <row r="28" spans="1:17" x14ac:dyDescent="0.25">
      <c r="A28" s="496"/>
      <c r="B28" s="497"/>
      <c r="C28" s="25" t="s">
        <v>32</v>
      </c>
      <c r="D28" s="58">
        <f>D27*$D$12</f>
        <v>1839.05836</v>
      </c>
      <c r="E28" s="59">
        <f>E27*$D$12</f>
        <v>2079.2661604999998</v>
      </c>
      <c r="F28" s="59">
        <f>F27*$D$12</f>
        <v>1999.437596</v>
      </c>
      <c r="G28" s="59">
        <f>G27*$D$12</f>
        <v>0</v>
      </c>
      <c r="H28" s="59">
        <f>H27*$D$12</f>
        <v>0</v>
      </c>
      <c r="I28" s="37">
        <f t="shared" ref="I28:Q28" si="2">I27*$D$11</f>
        <v>0</v>
      </c>
      <c r="J28" s="37">
        <f t="shared" si="2"/>
        <v>0</v>
      </c>
      <c r="K28" s="37">
        <f t="shared" si="2"/>
        <v>0</v>
      </c>
      <c r="L28" s="37">
        <f t="shared" si="2"/>
        <v>0</v>
      </c>
      <c r="M28" s="37">
        <f t="shared" si="2"/>
        <v>0</v>
      </c>
      <c r="N28" s="37">
        <f t="shared" si="2"/>
        <v>0</v>
      </c>
      <c r="O28" s="37">
        <f t="shared" si="2"/>
        <v>0</v>
      </c>
      <c r="P28" s="37">
        <f t="shared" si="2"/>
        <v>0</v>
      </c>
      <c r="Q28" s="37">
        <f t="shared" si="2"/>
        <v>0</v>
      </c>
    </row>
    <row r="29" spans="1:17" x14ac:dyDescent="0.25">
      <c r="A29" s="499" t="s">
        <v>284</v>
      </c>
      <c r="B29" s="500"/>
      <c r="C29" s="25" t="s">
        <v>32</v>
      </c>
      <c r="D29" s="406"/>
      <c r="E29" s="59">
        <f>IF(E28,$D$28-E28,0)</f>
        <v>-240.20780049999985</v>
      </c>
      <c r="F29" s="59">
        <f t="shared" ref="F29:Q29" si="3">IF(F28,$D$28-F28,0)</f>
        <v>-160.37923599999999</v>
      </c>
      <c r="G29" s="59">
        <f t="shared" si="3"/>
        <v>0</v>
      </c>
      <c r="H29" s="59">
        <f t="shared" si="3"/>
        <v>0</v>
      </c>
      <c r="I29" s="59">
        <f t="shared" si="3"/>
        <v>0</v>
      </c>
      <c r="J29" s="59">
        <f t="shared" si="3"/>
        <v>0</v>
      </c>
      <c r="K29" s="59">
        <f t="shared" si="3"/>
        <v>0</v>
      </c>
      <c r="L29" s="59">
        <f t="shared" si="3"/>
        <v>0</v>
      </c>
      <c r="M29" s="59">
        <f t="shared" si="3"/>
        <v>0</v>
      </c>
      <c r="N29" s="59">
        <f t="shared" si="3"/>
        <v>0</v>
      </c>
      <c r="O29" s="59">
        <f t="shared" si="3"/>
        <v>0</v>
      </c>
      <c r="P29" s="59">
        <f t="shared" si="3"/>
        <v>0</v>
      </c>
      <c r="Q29" s="59">
        <f t="shared" si="3"/>
        <v>0</v>
      </c>
    </row>
    <row r="30" spans="1:17" x14ac:dyDescent="0.25">
      <c r="A30" s="493" t="s">
        <v>39</v>
      </c>
      <c r="B30" s="493"/>
      <c r="C30" s="27" t="s">
        <v>40</v>
      </c>
      <c r="D30" s="30"/>
      <c r="E30" s="28">
        <f>($D$27-E27)/$D$27</f>
        <v>-0.13061456108440192</v>
      </c>
      <c r="F30" s="28">
        <f>($D$27-F27)/$D$27</f>
        <v>-8.720725752281186E-2</v>
      </c>
      <c r="G30" s="28">
        <f>IF(G27,($D$27-G27)/$D$27, 0)</f>
        <v>0</v>
      </c>
      <c r="H30" s="28">
        <f>IF(H27,($D$27-H27)/$D$27, 0)</f>
        <v>0</v>
      </c>
      <c r="I30" s="28">
        <f t="shared" ref="I30:Q30" si="4">IF(I27,($D$27-I27)/$D$27, 0)</f>
        <v>0</v>
      </c>
      <c r="J30" s="28">
        <f t="shared" si="4"/>
        <v>0</v>
      </c>
      <c r="K30" s="28">
        <f t="shared" si="4"/>
        <v>0</v>
      </c>
      <c r="L30" s="28">
        <f t="shared" si="4"/>
        <v>0</v>
      </c>
      <c r="M30" s="28">
        <f t="shared" si="4"/>
        <v>0</v>
      </c>
      <c r="N30" s="28">
        <f t="shared" si="4"/>
        <v>0</v>
      </c>
      <c r="O30" s="28">
        <f t="shared" si="4"/>
        <v>0</v>
      </c>
      <c r="P30" s="28">
        <f t="shared" si="4"/>
        <v>0</v>
      </c>
      <c r="Q30" s="28">
        <f t="shared" si="4"/>
        <v>0</v>
      </c>
    </row>
  </sheetData>
  <sheetProtection algorithmName="SHA-512" hashValue="rqKKG3Mrvq1kXGvnVzMd9uQ3wg8/I9w7hfKFEEz3nP/AWxgdzVDb0eAlyf9GXr1RQl0y1rcM1YWrJzuhAZ+nAA==" saltValue="6VCzHM/qiZ8yJwGVEW3pOw==" spinCount="100000" sheet="1" selectLockedCells="1"/>
  <mergeCells count="21">
    <mergeCell ref="A30:B30"/>
    <mergeCell ref="A27:B28"/>
    <mergeCell ref="A13:D13"/>
    <mergeCell ref="A29:B29"/>
    <mergeCell ref="G9:H9"/>
    <mergeCell ref="D10:H10"/>
    <mergeCell ref="F11:H12"/>
    <mergeCell ref="A1:H1"/>
    <mergeCell ref="D3:H3"/>
    <mergeCell ref="D4:H4"/>
    <mergeCell ref="D5:H5"/>
    <mergeCell ref="D6:H6"/>
    <mergeCell ref="D7:H7"/>
    <mergeCell ref="E9:F9"/>
    <mergeCell ref="A3:C3"/>
    <mergeCell ref="A9:B9"/>
    <mergeCell ref="A10:B10"/>
    <mergeCell ref="A4:C4"/>
    <mergeCell ref="A5:C5"/>
    <mergeCell ref="A6:C6"/>
    <mergeCell ref="A7:C7"/>
  </mergeCells>
  <phoneticPr fontId="5" type="noConversion"/>
  <dataValidations disablePrompts="1" count="1">
    <dataValidation type="list" allowBlank="1" showInputMessage="1" showErrorMessage="1" sqref="D9" xr:uid="{51D0AEB7-613B-452A-BC77-8B99C485F4CC}">
      <formula1>"Actual, Estimate"</formula1>
    </dataValidation>
  </dataValidations>
  <pageMargins left="0.43307086614173229" right="0.23622047244094491" top="0.74803149606299213" bottom="0.74803149606299213" header="0.31496062992125984" footer="0.31496062992125984"/>
  <pageSetup paperSize="9" orientation="portrait" r:id="rId1"/>
  <headerFooter>
    <oddHeader xml:space="preserve">&amp;LMALAYSIAN GREEN TECHNOLOGY AND CLIMATE CHANGE CORPORATION (MGTC)&amp;R&amp;10MGTC/DC/REC/LCC-011
Version: 1/ JUNE 2022&amp;11
</oddHeader>
    <oddFooter>&amp;L
&amp;A&amp;R
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E38AE-FB10-4453-A889-ACBDD8A45B3A}">
  <sheetPr codeName="Sheet7"/>
  <dimension ref="A1:AB40"/>
  <sheetViews>
    <sheetView view="pageLayout" zoomScale="85" zoomScaleNormal="100" zoomScalePageLayoutView="85" workbookViewId="0">
      <selection activeCell="B17" sqref="B17"/>
    </sheetView>
  </sheetViews>
  <sheetFormatPr defaultRowHeight="15" x14ac:dyDescent="0.25"/>
  <cols>
    <col min="1" max="1" width="4.85546875" customWidth="1"/>
    <col min="2" max="2" width="24" customWidth="1"/>
    <col min="3" max="3" width="6.5703125" customWidth="1"/>
    <col min="4" max="17" width="12.140625" customWidth="1"/>
    <col min="18" max="36" width="11.42578125" customWidth="1"/>
  </cols>
  <sheetData>
    <row r="1" spans="1:28" ht="16.5" thickBot="1" x14ac:dyDescent="0.3">
      <c r="A1" s="475" t="s">
        <v>133</v>
      </c>
      <c r="B1" s="476"/>
      <c r="C1" s="476"/>
      <c r="D1" s="476"/>
      <c r="E1" s="476"/>
      <c r="F1" s="476"/>
      <c r="G1" s="476"/>
      <c r="H1" s="477"/>
    </row>
    <row r="2" spans="1:28" ht="6.75" customHeight="1" x14ac:dyDescent="0.25"/>
    <row r="3" spans="1:28" x14ac:dyDescent="0.25">
      <c r="A3" s="470" t="s">
        <v>27</v>
      </c>
      <c r="B3" s="470"/>
      <c r="C3" s="470"/>
      <c r="D3" s="491" t="str">
        <f>'Summary (Main)'!D11:H11</f>
        <v>LCC-Z-B090-XX-XXXX</v>
      </c>
      <c r="E3" s="491"/>
      <c r="F3" s="491"/>
      <c r="G3" s="491"/>
      <c r="H3" s="491"/>
    </row>
    <row r="4" spans="1:28" x14ac:dyDescent="0.25">
      <c r="A4" s="470" t="s">
        <v>78</v>
      </c>
      <c r="B4" s="470"/>
      <c r="C4" s="470"/>
      <c r="D4" s="491" t="str">
        <f>'Summary (Main)'!D12:H12</f>
        <v>MAJLIS PERBANDARAN XXY</v>
      </c>
      <c r="E4" s="491"/>
      <c r="F4" s="491"/>
      <c r="G4" s="491"/>
      <c r="H4" s="491"/>
    </row>
    <row r="5" spans="1:28" x14ac:dyDescent="0.25">
      <c r="A5" s="470" t="s">
        <v>0</v>
      </c>
      <c r="B5" s="470"/>
      <c r="C5" s="470"/>
      <c r="D5" s="491" t="str">
        <f>'Summary (Main)'!D13:H13</f>
        <v>MAJLIS PERBANDARAN XXY</v>
      </c>
      <c r="E5" s="491"/>
      <c r="F5" s="491"/>
      <c r="G5" s="491"/>
      <c r="H5" s="491"/>
    </row>
    <row r="6" spans="1:28" x14ac:dyDescent="0.25">
      <c r="A6" s="470" t="s">
        <v>129</v>
      </c>
      <c r="B6" s="470"/>
      <c r="C6" s="470"/>
      <c r="D6" s="491">
        <f>'Summary (Main)'!D14:H14</f>
        <v>77432</v>
      </c>
      <c r="E6" s="491"/>
      <c r="F6" s="491"/>
      <c r="G6" s="491"/>
      <c r="H6" s="491"/>
    </row>
    <row r="7" spans="1:28" x14ac:dyDescent="0.25">
      <c r="A7" s="470" t="s">
        <v>137</v>
      </c>
      <c r="B7" s="470"/>
      <c r="C7" s="470"/>
      <c r="D7" s="491">
        <f>'Summary (Main)'!D15:H15</f>
        <v>451.36</v>
      </c>
      <c r="E7" s="491"/>
      <c r="F7" s="491"/>
      <c r="G7" s="491"/>
      <c r="H7" s="491"/>
    </row>
    <row r="8" spans="1:28" ht="6.75" customHeight="1" x14ac:dyDescent="0.25">
      <c r="A8" s="20"/>
      <c r="B8" s="20"/>
      <c r="C8" s="20"/>
      <c r="D8" s="3"/>
      <c r="E8" s="3"/>
    </row>
    <row r="9" spans="1:28" x14ac:dyDescent="0.25">
      <c r="A9" s="492" t="s">
        <v>7</v>
      </c>
      <c r="B9" s="492"/>
      <c r="C9" s="509"/>
      <c r="D9" s="29" t="s">
        <v>8</v>
      </c>
      <c r="E9" s="492" t="s">
        <v>12</v>
      </c>
      <c r="F9" s="492"/>
      <c r="G9" s="501" t="s">
        <v>13</v>
      </c>
      <c r="H9" s="502"/>
    </row>
    <row r="10" spans="1:28" x14ac:dyDescent="0.25">
      <c r="A10" s="492" t="s">
        <v>6</v>
      </c>
      <c r="B10" s="492"/>
      <c r="C10" s="492"/>
      <c r="D10" s="503" t="s">
        <v>16</v>
      </c>
      <c r="E10" s="504"/>
      <c r="F10" s="504"/>
      <c r="G10" s="504"/>
      <c r="H10" s="510"/>
    </row>
    <row r="11" spans="1:28" x14ac:dyDescent="0.25">
      <c r="A11" s="492" t="s">
        <v>9</v>
      </c>
      <c r="B11" s="492"/>
      <c r="C11" s="492"/>
      <c r="D11" s="14">
        <v>0.41899999999999998</v>
      </c>
      <c r="E11" s="9" t="s">
        <v>17</v>
      </c>
      <c r="F11" t="s">
        <v>18</v>
      </c>
    </row>
    <row r="12" spans="1:28" ht="6.75" customHeight="1" x14ac:dyDescent="0.25"/>
    <row r="13" spans="1:28" x14ac:dyDescent="0.25">
      <c r="A13" s="498" t="s">
        <v>19</v>
      </c>
      <c r="B13" s="498"/>
      <c r="C13" s="498"/>
      <c r="D13" s="498"/>
      <c r="H13" s="3"/>
      <c r="I13" s="3"/>
    </row>
    <row r="14" spans="1:28" x14ac:dyDescent="0.25">
      <c r="D14" s="10" t="s">
        <v>28</v>
      </c>
      <c r="E14" s="7"/>
    </row>
    <row r="15" spans="1:28" ht="15.75" thickBot="1" x14ac:dyDescent="0.3">
      <c r="A15" s="25" t="s">
        <v>1</v>
      </c>
      <c r="B15" s="26" t="s">
        <v>146</v>
      </c>
      <c r="C15" s="25" t="s">
        <v>30</v>
      </c>
      <c r="D15" s="272">
        <f>'Summary (Main)'!C26</f>
        <v>2017</v>
      </c>
      <c r="E15" s="273">
        <f>D15+1</f>
        <v>2018</v>
      </c>
      <c r="F15" s="273">
        <f t="shared" ref="F15:Q15" si="0">E15+1</f>
        <v>2019</v>
      </c>
      <c r="G15" s="273">
        <f t="shared" si="0"/>
        <v>2020</v>
      </c>
      <c r="H15" s="273">
        <f t="shared" si="0"/>
        <v>2021</v>
      </c>
      <c r="I15" s="273">
        <f t="shared" si="0"/>
        <v>2022</v>
      </c>
      <c r="J15" s="273">
        <f t="shared" si="0"/>
        <v>2023</v>
      </c>
      <c r="K15" s="273">
        <f t="shared" si="0"/>
        <v>2024</v>
      </c>
      <c r="L15" s="273">
        <f t="shared" si="0"/>
        <v>2025</v>
      </c>
      <c r="M15" s="273">
        <f t="shared" si="0"/>
        <v>2026</v>
      </c>
      <c r="N15" s="273">
        <f t="shared" si="0"/>
        <v>2027</v>
      </c>
      <c r="O15" s="273">
        <f t="shared" si="0"/>
        <v>2028</v>
      </c>
      <c r="P15" s="273">
        <f t="shared" si="0"/>
        <v>2029</v>
      </c>
      <c r="Q15" s="273">
        <f t="shared" si="0"/>
        <v>2030</v>
      </c>
      <c r="R15" s="20"/>
      <c r="S15" s="20"/>
      <c r="T15" s="20"/>
      <c r="U15" s="20"/>
      <c r="V15" s="20"/>
      <c r="W15" s="20"/>
      <c r="X15" s="20"/>
      <c r="Y15" s="20"/>
      <c r="Z15" s="20"/>
      <c r="AA15" s="20"/>
      <c r="AB15" s="20"/>
    </row>
    <row r="16" spans="1:28" ht="15.75" thickTop="1" x14ac:dyDescent="0.25">
      <c r="A16" s="341">
        <v>1</v>
      </c>
      <c r="B16" s="342" t="s">
        <v>160</v>
      </c>
      <c r="C16" s="343" t="s">
        <v>20</v>
      </c>
      <c r="D16" s="389">
        <v>22182</v>
      </c>
      <c r="E16" s="390">
        <v>15288</v>
      </c>
      <c r="F16" s="391">
        <v>13889</v>
      </c>
      <c r="G16" s="347"/>
      <c r="H16" s="347"/>
      <c r="I16" s="347"/>
      <c r="J16" s="391"/>
      <c r="K16" s="391"/>
      <c r="L16" s="391"/>
      <c r="M16" s="391"/>
      <c r="N16" s="391"/>
      <c r="O16" s="391"/>
      <c r="P16" s="391"/>
      <c r="Q16" s="398"/>
    </row>
    <row r="17" spans="1:17" x14ac:dyDescent="0.25">
      <c r="A17" s="341">
        <f>A16+1</f>
        <v>2</v>
      </c>
      <c r="B17" s="342" t="s">
        <v>161</v>
      </c>
      <c r="C17" s="343" t="s">
        <v>20</v>
      </c>
      <c r="D17" s="393">
        <v>62154</v>
      </c>
      <c r="E17" s="395">
        <v>121716</v>
      </c>
      <c r="F17" s="395">
        <v>103585</v>
      </c>
      <c r="G17" s="348"/>
      <c r="H17" s="348"/>
      <c r="I17" s="348"/>
      <c r="J17" s="399"/>
      <c r="K17" s="399"/>
      <c r="L17" s="399"/>
      <c r="M17" s="399"/>
      <c r="N17" s="399"/>
      <c r="O17" s="399"/>
      <c r="P17" s="399"/>
      <c r="Q17" s="400"/>
    </row>
    <row r="18" spans="1:17" x14ac:dyDescent="0.25">
      <c r="A18" s="341">
        <f t="shared" ref="A18:A25" si="1">A17+1</f>
        <v>3</v>
      </c>
      <c r="B18" s="342" t="s">
        <v>144</v>
      </c>
      <c r="C18" s="343" t="s">
        <v>20</v>
      </c>
      <c r="D18" s="393">
        <v>6294</v>
      </c>
      <c r="E18" s="395">
        <v>64529</v>
      </c>
      <c r="F18" s="395">
        <v>58581</v>
      </c>
      <c r="G18" s="348"/>
      <c r="H18" s="348"/>
      <c r="I18" s="348"/>
      <c r="J18" s="399"/>
      <c r="K18" s="399"/>
      <c r="L18" s="399"/>
      <c r="M18" s="399"/>
      <c r="N18" s="399"/>
      <c r="O18" s="399"/>
      <c r="P18" s="399"/>
      <c r="Q18" s="400"/>
    </row>
    <row r="19" spans="1:17" x14ac:dyDescent="0.25">
      <c r="A19" s="341">
        <f t="shared" si="1"/>
        <v>4</v>
      </c>
      <c r="B19" s="342" t="s">
        <v>162</v>
      </c>
      <c r="C19" s="343" t="s">
        <v>20</v>
      </c>
      <c r="D19" s="393">
        <v>76014</v>
      </c>
      <c r="E19" s="395">
        <v>117931</v>
      </c>
      <c r="F19" s="395">
        <v>284524</v>
      </c>
      <c r="G19" s="348"/>
      <c r="H19" s="348"/>
      <c r="I19" s="348"/>
      <c r="J19" s="399"/>
      <c r="K19" s="399"/>
      <c r="L19" s="399"/>
      <c r="M19" s="399"/>
      <c r="N19" s="399"/>
      <c r="O19" s="399"/>
      <c r="P19" s="399"/>
      <c r="Q19" s="400"/>
    </row>
    <row r="20" spans="1:17" x14ac:dyDescent="0.25">
      <c r="A20" s="341">
        <f t="shared" si="1"/>
        <v>5</v>
      </c>
      <c r="B20" s="342"/>
      <c r="C20" s="343" t="s">
        <v>20</v>
      </c>
      <c r="D20" s="349"/>
      <c r="E20" s="350"/>
      <c r="F20" s="350"/>
      <c r="G20" s="348"/>
      <c r="H20" s="348"/>
      <c r="I20" s="348"/>
      <c r="J20" s="399"/>
      <c r="K20" s="399"/>
      <c r="L20" s="399"/>
      <c r="M20" s="399"/>
      <c r="N20" s="399"/>
      <c r="O20" s="399"/>
      <c r="P20" s="399"/>
      <c r="Q20" s="400"/>
    </row>
    <row r="21" spans="1:17" x14ac:dyDescent="0.25">
      <c r="A21" s="341">
        <f t="shared" si="1"/>
        <v>6</v>
      </c>
      <c r="B21" s="342"/>
      <c r="C21" s="343" t="s">
        <v>20</v>
      </c>
      <c r="D21" s="349"/>
      <c r="E21" s="350"/>
      <c r="F21" s="350"/>
      <c r="G21" s="348"/>
      <c r="H21" s="348"/>
      <c r="I21" s="348"/>
      <c r="J21" s="399"/>
      <c r="K21" s="399"/>
      <c r="L21" s="399"/>
      <c r="M21" s="399"/>
      <c r="N21" s="399"/>
      <c r="O21" s="399"/>
      <c r="P21" s="399"/>
      <c r="Q21" s="400"/>
    </row>
    <row r="22" spans="1:17" x14ac:dyDescent="0.25">
      <c r="A22" s="341">
        <f t="shared" si="1"/>
        <v>7</v>
      </c>
      <c r="B22" s="342"/>
      <c r="C22" s="343" t="s">
        <v>20</v>
      </c>
      <c r="D22" s="349"/>
      <c r="E22" s="350"/>
      <c r="F22" s="350"/>
      <c r="G22" s="348"/>
      <c r="H22" s="348"/>
      <c r="I22" s="348"/>
      <c r="J22" s="399"/>
      <c r="K22" s="399"/>
      <c r="L22" s="399"/>
      <c r="M22" s="399"/>
      <c r="N22" s="399"/>
      <c r="O22" s="399"/>
      <c r="P22" s="399"/>
      <c r="Q22" s="400"/>
    </row>
    <row r="23" spans="1:17" x14ac:dyDescent="0.25">
      <c r="A23" s="341">
        <f t="shared" si="1"/>
        <v>8</v>
      </c>
      <c r="B23" s="342"/>
      <c r="C23" s="343" t="s">
        <v>20</v>
      </c>
      <c r="D23" s="349"/>
      <c r="E23" s="350"/>
      <c r="F23" s="350"/>
      <c r="G23" s="348"/>
      <c r="H23" s="348"/>
      <c r="I23" s="348"/>
      <c r="J23" s="399"/>
      <c r="K23" s="399"/>
      <c r="L23" s="399"/>
      <c r="M23" s="399"/>
      <c r="N23" s="399"/>
      <c r="O23" s="399"/>
      <c r="P23" s="399"/>
      <c r="Q23" s="400"/>
    </row>
    <row r="24" spans="1:17" x14ac:dyDescent="0.25">
      <c r="A24" s="341">
        <f t="shared" si="1"/>
        <v>9</v>
      </c>
      <c r="B24" s="342"/>
      <c r="C24" s="343" t="s">
        <v>20</v>
      </c>
      <c r="D24" s="349"/>
      <c r="E24" s="350"/>
      <c r="F24" s="350"/>
      <c r="G24" s="348"/>
      <c r="H24" s="348"/>
      <c r="I24" s="348"/>
      <c r="J24" s="399"/>
      <c r="K24" s="399"/>
      <c r="L24" s="399"/>
      <c r="M24" s="399"/>
      <c r="N24" s="399"/>
      <c r="O24" s="399"/>
      <c r="P24" s="399"/>
      <c r="Q24" s="400"/>
    </row>
    <row r="25" spans="1:17" x14ac:dyDescent="0.25">
      <c r="A25" s="341">
        <f t="shared" si="1"/>
        <v>10</v>
      </c>
      <c r="B25" s="342"/>
      <c r="C25" s="343" t="s">
        <v>20</v>
      </c>
      <c r="D25" s="349"/>
      <c r="E25" s="350"/>
      <c r="F25" s="350"/>
      <c r="G25" s="348"/>
      <c r="H25" s="348"/>
      <c r="I25" s="348"/>
      <c r="J25" s="399"/>
      <c r="K25" s="399"/>
      <c r="L25" s="399"/>
      <c r="M25" s="399"/>
      <c r="N25" s="399"/>
      <c r="O25" s="399"/>
      <c r="P25" s="399"/>
      <c r="Q25" s="400"/>
    </row>
    <row r="26" spans="1:17" ht="15.75" thickBot="1" x14ac:dyDescent="0.3">
      <c r="A26" s="345" t="s">
        <v>275</v>
      </c>
      <c r="B26" s="345"/>
      <c r="C26" s="346"/>
      <c r="D26" s="351"/>
      <c r="E26" s="352"/>
      <c r="F26" s="352"/>
      <c r="G26" s="353"/>
      <c r="H26" s="353"/>
      <c r="I26" s="353"/>
      <c r="J26" s="401"/>
      <c r="K26" s="401"/>
      <c r="L26" s="401"/>
      <c r="M26" s="401"/>
      <c r="N26" s="401"/>
      <c r="O26" s="401"/>
      <c r="P26" s="401"/>
      <c r="Q26" s="402"/>
    </row>
    <row r="27" spans="1:17" ht="15.75" thickTop="1" x14ac:dyDescent="0.25">
      <c r="A27" s="494" t="s">
        <v>3</v>
      </c>
      <c r="B27" s="495"/>
      <c r="C27" s="25" t="s">
        <v>20</v>
      </c>
      <c r="D27" s="274">
        <f t="shared" ref="D27:Q27" si="2">SUM(D16:D26)</f>
        <v>166644</v>
      </c>
      <c r="E27" s="275">
        <f t="shared" si="2"/>
        <v>319464</v>
      </c>
      <c r="F27" s="275">
        <f t="shared" si="2"/>
        <v>460579</v>
      </c>
      <c r="G27" s="275">
        <f t="shared" si="2"/>
        <v>0</v>
      </c>
      <c r="H27" s="276">
        <f t="shared" si="2"/>
        <v>0</v>
      </c>
      <c r="I27" s="276">
        <f t="shared" si="2"/>
        <v>0</v>
      </c>
      <c r="J27" s="277">
        <f t="shared" si="2"/>
        <v>0</v>
      </c>
      <c r="K27" s="277">
        <f t="shared" si="2"/>
        <v>0</v>
      </c>
      <c r="L27" s="277">
        <f t="shared" si="2"/>
        <v>0</v>
      </c>
      <c r="M27" s="277">
        <f t="shared" si="2"/>
        <v>0</v>
      </c>
      <c r="N27" s="277">
        <f t="shared" si="2"/>
        <v>0</v>
      </c>
      <c r="O27" s="277">
        <f t="shared" si="2"/>
        <v>0</v>
      </c>
      <c r="P27" s="277">
        <f t="shared" si="2"/>
        <v>0</v>
      </c>
      <c r="Q27" s="277">
        <f t="shared" si="2"/>
        <v>0</v>
      </c>
    </row>
    <row r="28" spans="1:17" x14ac:dyDescent="0.25">
      <c r="A28" s="496"/>
      <c r="B28" s="497"/>
      <c r="C28" s="25" t="s">
        <v>32</v>
      </c>
      <c r="D28" s="48">
        <f t="shared" ref="D28:Q28" si="3">D27*$D$11/1000</f>
        <v>69.823836</v>
      </c>
      <c r="E28" s="49">
        <f t="shared" si="3"/>
        <v>133.85541599999999</v>
      </c>
      <c r="F28" s="49">
        <f t="shared" si="3"/>
        <v>192.98260099999999</v>
      </c>
      <c r="G28" s="49">
        <f t="shared" si="3"/>
        <v>0</v>
      </c>
      <c r="H28" s="49">
        <f t="shared" si="3"/>
        <v>0</v>
      </c>
      <c r="I28" s="49">
        <f t="shared" si="3"/>
        <v>0</v>
      </c>
      <c r="J28" s="49">
        <f t="shared" si="3"/>
        <v>0</v>
      </c>
      <c r="K28" s="49">
        <f t="shared" si="3"/>
        <v>0</v>
      </c>
      <c r="L28" s="49">
        <f t="shared" si="3"/>
        <v>0</v>
      </c>
      <c r="M28" s="49">
        <f t="shared" si="3"/>
        <v>0</v>
      </c>
      <c r="N28" s="49">
        <f t="shared" si="3"/>
        <v>0</v>
      </c>
      <c r="O28" s="49">
        <f t="shared" si="3"/>
        <v>0</v>
      </c>
      <c r="P28" s="49">
        <f t="shared" si="3"/>
        <v>0</v>
      </c>
      <c r="Q28" s="49">
        <f t="shared" si="3"/>
        <v>0</v>
      </c>
    </row>
    <row r="29" spans="1:17" x14ac:dyDescent="0.25">
      <c r="A29" s="499" t="s">
        <v>285</v>
      </c>
      <c r="B29" s="500"/>
      <c r="C29" s="25" t="s">
        <v>32</v>
      </c>
      <c r="D29" s="405"/>
      <c r="E29" s="37">
        <f>IF(E28,$D$28-E28,0)</f>
        <v>-64.031579999999991</v>
      </c>
      <c r="F29" s="37">
        <f t="shared" ref="F29:Q29" si="4">IF(F28,$D$28-F28,0)</f>
        <v>-123.15876499999999</v>
      </c>
      <c r="G29" s="37">
        <f t="shared" si="4"/>
        <v>0</v>
      </c>
      <c r="H29" s="37">
        <f t="shared" si="4"/>
        <v>0</v>
      </c>
      <c r="I29" s="37">
        <f t="shared" si="4"/>
        <v>0</v>
      </c>
      <c r="J29" s="37">
        <f t="shared" si="4"/>
        <v>0</v>
      </c>
      <c r="K29" s="37">
        <f t="shared" si="4"/>
        <v>0</v>
      </c>
      <c r="L29" s="37">
        <f t="shared" si="4"/>
        <v>0</v>
      </c>
      <c r="M29" s="37">
        <f t="shared" si="4"/>
        <v>0</v>
      </c>
      <c r="N29" s="37">
        <f t="shared" si="4"/>
        <v>0</v>
      </c>
      <c r="O29" s="37">
        <f t="shared" si="4"/>
        <v>0</v>
      </c>
      <c r="P29" s="37">
        <f t="shared" si="4"/>
        <v>0</v>
      </c>
      <c r="Q29" s="37">
        <f t="shared" si="4"/>
        <v>0</v>
      </c>
    </row>
    <row r="30" spans="1:17" x14ac:dyDescent="0.25">
      <c r="A30" s="493" t="s">
        <v>39</v>
      </c>
      <c r="B30" s="493"/>
      <c r="C30" s="27" t="s">
        <v>40</v>
      </c>
      <c r="D30" s="30"/>
      <c r="E30" s="40">
        <f>($D$28-E28)/$D$28</f>
        <v>-0.91704471808165899</v>
      </c>
      <c r="F30" s="40">
        <f>($D$28-F28)/$D$28</f>
        <v>-1.7638498835841674</v>
      </c>
      <c r="G30" s="40">
        <f>($D$28-G28)/$D$28</f>
        <v>1</v>
      </c>
      <c r="H30" s="40">
        <f>IF(H27,($D$28-H28)/$D$28, 0)</f>
        <v>0</v>
      </c>
      <c r="I30" s="40">
        <f t="shared" ref="I30:Q30" si="5">IF(I27,($D$28-I28)/$D$28, 0)</f>
        <v>0</v>
      </c>
      <c r="J30" s="40">
        <f t="shared" si="5"/>
        <v>0</v>
      </c>
      <c r="K30" s="40">
        <f t="shared" si="5"/>
        <v>0</v>
      </c>
      <c r="L30" s="40">
        <f t="shared" si="5"/>
        <v>0</v>
      </c>
      <c r="M30" s="40">
        <f t="shared" si="5"/>
        <v>0</v>
      </c>
      <c r="N30" s="40">
        <f t="shared" si="5"/>
        <v>0</v>
      </c>
      <c r="O30" s="40">
        <f t="shared" si="5"/>
        <v>0</v>
      </c>
      <c r="P30" s="40">
        <f t="shared" si="5"/>
        <v>0</v>
      </c>
      <c r="Q30" s="40">
        <f t="shared" si="5"/>
        <v>0</v>
      </c>
    </row>
    <row r="40" spans="8:9" x14ac:dyDescent="0.25">
      <c r="H40" s="8"/>
      <c r="I40" s="8"/>
    </row>
  </sheetData>
  <sheetProtection algorithmName="SHA-512" hashValue="huf0TPwd3PrBFCu7ImKghKQh/Tzv77qAm2jY8QroxLyMpIPSWjp5ZAIRP1EFSoOvGItL0rff62nc+rbD9Aq6PA==" saltValue="iaWtaMCQgJm0WGwXlzPPYA==" spinCount="100000" sheet="1" selectLockedCells="1"/>
  <mergeCells count="21">
    <mergeCell ref="A30:B30"/>
    <mergeCell ref="A27:B28"/>
    <mergeCell ref="E9:F9"/>
    <mergeCell ref="A13:D13"/>
    <mergeCell ref="A11:C11"/>
    <mergeCell ref="A9:C9"/>
    <mergeCell ref="A10:C10"/>
    <mergeCell ref="D10:H10"/>
    <mergeCell ref="G9:H9"/>
    <mergeCell ref="A29:B29"/>
    <mergeCell ref="A1:H1"/>
    <mergeCell ref="A6:C6"/>
    <mergeCell ref="D6:H6"/>
    <mergeCell ref="A7:C7"/>
    <mergeCell ref="D7:H7"/>
    <mergeCell ref="A3:C3"/>
    <mergeCell ref="D3:H3"/>
    <mergeCell ref="A4:C4"/>
    <mergeCell ref="D4:H4"/>
    <mergeCell ref="A5:C5"/>
    <mergeCell ref="D5:H5"/>
  </mergeCells>
  <phoneticPr fontId="5" type="noConversion"/>
  <conditionalFormatting sqref="D11:E11">
    <cfRule type="iconSet" priority="1">
      <iconSet iconSet="3Arrows">
        <cfvo type="percent" val="0"/>
        <cfvo type="percent" val="33"/>
        <cfvo type="percent" val="67"/>
      </iconSet>
    </cfRule>
  </conditionalFormatting>
  <dataValidations disablePrompts="1" count="1">
    <dataValidation type="list" allowBlank="1" showInputMessage="1" showErrorMessage="1" sqref="D9" xr:uid="{6AB39B86-1634-4EC6-A85D-27477986A02D}">
      <formula1>"Actual, Estimate"</formula1>
    </dataValidation>
  </dataValidations>
  <pageMargins left="0.43307086614173229" right="0.23622047244094491" top="0.74803149606299213" bottom="0.74803149606299213" header="0.31496062992125984" footer="0.31496062992125984"/>
  <pageSetup paperSize="9" orientation="portrait" r:id="rId1"/>
  <headerFooter>
    <oddHeader>&amp;LMALAYSIAN GREEN TECHNOLOGY AND CLIMATE CHANGE CORPORATION (MGTC)&amp;R&amp;10MGTC/DC/REC/LCC-011
Version:  1/ JUNE 2022</oddHeader>
    <oddFooter>&amp;L
&amp;A&amp;R
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E7498-532F-49D3-935D-B627248D3D63}">
  <sheetPr codeName="Sheet8"/>
  <dimension ref="A1:Q42"/>
  <sheetViews>
    <sheetView view="pageLayout" zoomScale="85" zoomScaleNormal="100" zoomScalePageLayoutView="85" workbookViewId="0">
      <selection activeCell="E17" sqref="E17"/>
    </sheetView>
  </sheetViews>
  <sheetFormatPr defaultRowHeight="15" x14ac:dyDescent="0.25"/>
  <cols>
    <col min="1" max="1" width="5.5703125" customWidth="1"/>
    <col min="2" max="2" width="28.28515625" customWidth="1"/>
    <col min="3" max="3" width="6.85546875" customWidth="1"/>
    <col min="4" max="17" width="11.140625" customWidth="1"/>
  </cols>
  <sheetData>
    <row r="1" spans="1:17" ht="16.5" thickBot="1" x14ac:dyDescent="0.3">
      <c r="A1" s="475" t="s">
        <v>134</v>
      </c>
      <c r="B1" s="476"/>
      <c r="C1" s="476"/>
      <c r="D1" s="476"/>
      <c r="E1" s="476"/>
      <c r="F1" s="476"/>
      <c r="G1" s="476"/>
      <c r="H1" s="477"/>
    </row>
    <row r="2" spans="1:17" ht="6.75" customHeight="1" x14ac:dyDescent="0.25"/>
    <row r="3" spans="1:17" x14ac:dyDescent="0.25">
      <c r="A3" s="470" t="s">
        <v>27</v>
      </c>
      <c r="B3" s="470"/>
      <c r="C3" s="470"/>
      <c r="D3" s="491" t="str">
        <f>'Summary (Main)'!D11:H11</f>
        <v>LCC-Z-B090-XX-XXXX</v>
      </c>
      <c r="E3" s="491"/>
      <c r="F3" s="491"/>
      <c r="G3" s="491"/>
      <c r="H3" s="491"/>
    </row>
    <row r="4" spans="1:17" x14ac:dyDescent="0.25">
      <c r="A4" s="470" t="s">
        <v>78</v>
      </c>
      <c r="B4" s="470"/>
      <c r="C4" s="470"/>
      <c r="D4" s="491" t="str">
        <f>'Summary (Main)'!D12:H12</f>
        <v>MAJLIS PERBANDARAN XXY</v>
      </c>
      <c r="E4" s="491"/>
      <c r="F4" s="491"/>
      <c r="G4" s="491"/>
      <c r="H4" s="491"/>
    </row>
    <row r="5" spans="1:17" x14ac:dyDescent="0.25">
      <c r="A5" s="470" t="s">
        <v>0</v>
      </c>
      <c r="B5" s="470"/>
      <c r="C5" s="470"/>
      <c r="D5" s="491" t="str">
        <f>'Summary (Main)'!D13:H13</f>
        <v>MAJLIS PERBANDARAN XXY</v>
      </c>
      <c r="E5" s="491"/>
      <c r="F5" s="491"/>
      <c r="G5" s="491"/>
      <c r="H5" s="491"/>
    </row>
    <row r="6" spans="1:17" x14ac:dyDescent="0.25">
      <c r="A6" s="470" t="s">
        <v>129</v>
      </c>
      <c r="B6" s="470"/>
      <c r="C6" s="470"/>
      <c r="D6" s="491">
        <f>'Summary (Main)'!D14:H14</f>
        <v>77432</v>
      </c>
      <c r="E6" s="491"/>
      <c r="F6" s="491"/>
      <c r="G6" s="491"/>
      <c r="H6" s="491"/>
    </row>
    <row r="7" spans="1:17" x14ac:dyDescent="0.25">
      <c r="A7" s="470" t="s">
        <v>137</v>
      </c>
      <c r="B7" s="470"/>
      <c r="C7" s="470"/>
      <c r="D7" s="491">
        <f>'Summary (Main)'!D15:H15</f>
        <v>451.36</v>
      </c>
      <c r="E7" s="491"/>
      <c r="F7" s="491"/>
      <c r="G7" s="491"/>
      <c r="H7" s="491"/>
    </row>
    <row r="8" spans="1:17" ht="6.75" customHeight="1" x14ac:dyDescent="0.25">
      <c r="A8" s="5"/>
      <c r="B8" s="5"/>
      <c r="C8" s="5"/>
    </row>
    <row r="9" spans="1:17" x14ac:dyDescent="0.25">
      <c r="A9" s="492" t="s">
        <v>7</v>
      </c>
      <c r="B9" s="492"/>
      <c r="C9" s="509"/>
      <c r="D9" s="29" t="s">
        <v>8</v>
      </c>
      <c r="E9" s="492" t="s">
        <v>12</v>
      </c>
      <c r="F9" s="492"/>
      <c r="G9" s="501" t="s">
        <v>21</v>
      </c>
      <c r="H9" s="502"/>
    </row>
    <row r="10" spans="1:17" x14ac:dyDescent="0.25">
      <c r="A10" s="492" t="s">
        <v>6</v>
      </c>
      <c r="B10" s="492"/>
      <c r="C10" s="492"/>
      <c r="D10" s="514" t="s">
        <v>22</v>
      </c>
      <c r="E10" s="515"/>
      <c r="F10" s="515"/>
      <c r="G10" s="515"/>
      <c r="H10" s="516"/>
    </row>
    <row r="11" spans="1:17" x14ac:dyDescent="0.25">
      <c r="A11" s="492" t="s">
        <v>9</v>
      </c>
      <c r="B11" s="492"/>
      <c r="C11" s="492"/>
      <c r="D11" s="3">
        <v>586.53129999999999</v>
      </c>
      <c r="E11" t="s">
        <v>116</v>
      </c>
      <c r="F11" t="s">
        <v>24</v>
      </c>
    </row>
    <row r="12" spans="1:17" ht="6.75" customHeight="1" x14ac:dyDescent="0.25"/>
    <row r="13" spans="1:17" x14ac:dyDescent="0.25">
      <c r="A13" s="498" t="s">
        <v>42</v>
      </c>
      <c r="B13" s="498"/>
      <c r="C13" s="498"/>
      <c r="D13" s="498"/>
      <c r="E13" s="498"/>
      <c r="F13" s="498"/>
      <c r="H13" s="3"/>
      <c r="I13" s="3"/>
    </row>
    <row r="14" spans="1:17" x14ac:dyDescent="0.25">
      <c r="D14" s="10" t="s">
        <v>28</v>
      </c>
      <c r="E14" s="7"/>
    </row>
    <row r="15" spans="1:17" ht="15.75" thickBot="1" x14ac:dyDescent="0.3">
      <c r="A15" s="25" t="s">
        <v>1</v>
      </c>
      <c r="B15" s="26" t="s">
        <v>146</v>
      </c>
      <c r="C15" s="25" t="s">
        <v>30</v>
      </c>
      <c r="D15" s="272">
        <f>'Summary (Main)'!C28</f>
        <v>2017</v>
      </c>
      <c r="E15" s="273">
        <f>D15+1</f>
        <v>2018</v>
      </c>
      <c r="F15" s="273">
        <f t="shared" ref="F15:Q15" si="0">E15+1</f>
        <v>2019</v>
      </c>
      <c r="G15" s="273">
        <f t="shared" si="0"/>
        <v>2020</v>
      </c>
      <c r="H15" s="273">
        <f t="shared" si="0"/>
        <v>2021</v>
      </c>
      <c r="I15" s="273">
        <f t="shared" si="0"/>
        <v>2022</v>
      </c>
      <c r="J15" s="273">
        <f t="shared" si="0"/>
        <v>2023</v>
      </c>
      <c r="K15" s="273">
        <f t="shared" si="0"/>
        <v>2024</v>
      </c>
      <c r="L15" s="273">
        <f t="shared" si="0"/>
        <v>2025</v>
      </c>
      <c r="M15" s="273">
        <f t="shared" si="0"/>
        <v>2026</v>
      </c>
      <c r="N15" s="273">
        <f t="shared" si="0"/>
        <v>2027</v>
      </c>
      <c r="O15" s="273">
        <f>N15+1</f>
        <v>2028</v>
      </c>
      <c r="P15" s="273">
        <f t="shared" si="0"/>
        <v>2029</v>
      </c>
      <c r="Q15" s="273">
        <f t="shared" si="0"/>
        <v>2030</v>
      </c>
    </row>
    <row r="16" spans="1:17" ht="15.75" thickTop="1" x14ac:dyDescent="0.25">
      <c r="A16" s="341">
        <v>1</v>
      </c>
      <c r="B16" s="342" t="s">
        <v>145</v>
      </c>
      <c r="C16" s="343" t="s">
        <v>25</v>
      </c>
      <c r="D16" s="344">
        <v>1386</v>
      </c>
      <c r="E16" s="354">
        <v>1892</v>
      </c>
      <c r="F16" s="307">
        <v>1928</v>
      </c>
      <c r="G16" s="307"/>
      <c r="H16" s="307"/>
      <c r="I16" s="307"/>
      <c r="J16" s="307"/>
      <c r="K16" s="307"/>
      <c r="L16" s="307"/>
      <c r="M16" s="307"/>
      <c r="N16" s="307"/>
      <c r="O16" s="307"/>
      <c r="P16" s="307"/>
      <c r="Q16" s="308"/>
    </row>
    <row r="17" spans="1:17" x14ac:dyDescent="0.25">
      <c r="A17" s="341">
        <v>2</v>
      </c>
      <c r="B17" s="342"/>
      <c r="C17" s="343" t="s">
        <v>25</v>
      </c>
      <c r="D17" s="331"/>
      <c r="E17" s="298"/>
      <c r="F17" s="298"/>
      <c r="G17" s="299"/>
      <c r="H17" s="299"/>
      <c r="I17" s="299"/>
      <c r="J17" s="299"/>
      <c r="K17" s="299"/>
      <c r="L17" s="299"/>
      <c r="M17" s="299"/>
      <c r="N17" s="299"/>
      <c r="O17" s="299"/>
      <c r="P17" s="299"/>
      <c r="Q17" s="310"/>
    </row>
    <row r="18" spans="1:17" x14ac:dyDescent="0.25">
      <c r="A18" s="341">
        <v>3</v>
      </c>
      <c r="B18" s="342"/>
      <c r="C18" s="343" t="s">
        <v>25</v>
      </c>
      <c r="D18" s="331"/>
      <c r="E18" s="298"/>
      <c r="F18" s="298"/>
      <c r="G18" s="299"/>
      <c r="H18" s="299"/>
      <c r="I18" s="299"/>
      <c r="J18" s="299"/>
      <c r="K18" s="299"/>
      <c r="L18" s="299"/>
      <c r="M18" s="299"/>
      <c r="N18" s="299"/>
      <c r="O18" s="299"/>
      <c r="P18" s="299"/>
      <c r="Q18" s="310"/>
    </row>
    <row r="19" spans="1:17" x14ac:dyDescent="0.25">
      <c r="A19" s="341">
        <v>4</v>
      </c>
      <c r="B19" s="342"/>
      <c r="C19" s="343" t="s">
        <v>25</v>
      </c>
      <c r="D19" s="331"/>
      <c r="E19" s="298"/>
      <c r="F19" s="298"/>
      <c r="G19" s="299"/>
      <c r="H19" s="299"/>
      <c r="I19" s="299"/>
      <c r="J19" s="299"/>
      <c r="K19" s="299"/>
      <c r="L19" s="299"/>
      <c r="M19" s="299"/>
      <c r="N19" s="299"/>
      <c r="O19" s="299"/>
      <c r="P19" s="299"/>
      <c r="Q19" s="310"/>
    </row>
    <row r="20" spans="1:17" x14ac:dyDescent="0.25">
      <c r="A20" s="341">
        <v>5</v>
      </c>
      <c r="B20" s="342"/>
      <c r="C20" s="343" t="s">
        <v>25</v>
      </c>
      <c r="D20" s="331"/>
      <c r="E20" s="298"/>
      <c r="F20" s="298"/>
      <c r="G20" s="299"/>
      <c r="H20" s="299"/>
      <c r="I20" s="299"/>
      <c r="J20" s="299"/>
      <c r="K20" s="299"/>
      <c r="L20" s="299"/>
      <c r="M20" s="299"/>
      <c r="N20" s="299"/>
      <c r="O20" s="299"/>
      <c r="P20" s="299"/>
      <c r="Q20" s="310"/>
    </row>
    <row r="21" spans="1:17" x14ac:dyDescent="0.25">
      <c r="A21" s="341">
        <v>6</v>
      </c>
      <c r="B21" s="342"/>
      <c r="C21" s="343" t="s">
        <v>25</v>
      </c>
      <c r="D21" s="331"/>
      <c r="E21" s="298"/>
      <c r="F21" s="298"/>
      <c r="G21" s="299"/>
      <c r="H21" s="299"/>
      <c r="I21" s="299"/>
      <c r="J21" s="299"/>
      <c r="K21" s="299"/>
      <c r="L21" s="299"/>
      <c r="M21" s="299"/>
      <c r="N21" s="299"/>
      <c r="O21" s="299"/>
      <c r="P21" s="299"/>
      <c r="Q21" s="310"/>
    </row>
    <row r="22" spans="1:17" x14ac:dyDescent="0.25">
      <c r="A22" s="341">
        <v>7</v>
      </c>
      <c r="B22" s="342"/>
      <c r="C22" s="343" t="s">
        <v>25</v>
      </c>
      <c r="D22" s="331"/>
      <c r="E22" s="298"/>
      <c r="F22" s="298"/>
      <c r="G22" s="299"/>
      <c r="H22" s="299"/>
      <c r="I22" s="299"/>
      <c r="J22" s="299"/>
      <c r="K22" s="299"/>
      <c r="L22" s="299"/>
      <c r="M22" s="299"/>
      <c r="N22" s="299"/>
      <c r="O22" s="299"/>
      <c r="P22" s="299"/>
      <c r="Q22" s="310"/>
    </row>
    <row r="23" spans="1:17" x14ac:dyDescent="0.25">
      <c r="A23" s="341">
        <v>8</v>
      </c>
      <c r="B23" s="342"/>
      <c r="C23" s="343" t="s">
        <v>25</v>
      </c>
      <c r="D23" s="331"/>
      <c r="E23" s="298"/>
      <c r="F23" s="298"/>
      <c r="G23" s="299"/>
      <c r="H23" s="299"/>
      <c r="I23" s="299"/>
      <c r="J23" s="299"/>
      <c r="K23" s="299"/>
      <c r="L23" s="299"/>
      <c r="M23" s="299"/>
      <c r="N23" s="299"/>
      <c r="O23" s="299"/>
      <c r="P23" s="299"/>
      <c r="Q23" s="310"/>
    </row>
    <row r="24" spans="1:17" x14ac:dyDescent="0.25">
      <c r="A24" s="341">
        <v>9</v>
      </c>
      <c r="B24" s="342"/>
      <c r="C24" s="343" t="s">
        <v>25</v>
      </c>
      <c r="D24" s="331"/>
      <c r="E24" s="298"/>
      <c r="F24" s="298"/>
      <c r="G24" s="299"/>
      <c r="H24" s="299"/>
      <c r="I24" s="299"/>
      <c r="J24" s="299"/>
      <c r="K24" s="299"/>
      <c r="L24" s="299"/>
      <c r="M24" s="299"/>
      <c r="N24" s="299"/>
      <c r="O24" s="299"/>
      <c r="P24" s="299"/>
      <c r="Q24" s="310"/>
    </row>
    <row r="25" spans="1:17" x14ac:dyDescent="0.25">
      <c r="A25" s="341">
        <v>10</v>
      </c>
      <c r="B25" s="342"/>
      <c r="C25" s="343" t="s">
        <v>25</v>
      </c>
      <c r="D25" s="331"/>
      <c r="E25" s="298"/>
      <c r="F25" s="298"/>
      <c r="G25" s="299"/>
      <c r="H25" s="299"/>
      <c r="I25" s="299"/>
      <c r="J25" s="299"/>
      <c r="K25" s="299"/>
      <c r="L25" s="299"/>
      <c r="M25" s="299"/>
      <c r="N25" s="299"/>
      <c r="O25" s="299"/>
      <c r="P25" s="299"/>
      <c r="Q25" s="310"/>
    </row>
    <row r="26" spans="1:17" ht="15.75" thickBot="1" x14ac:dyDescent="0.3">
      <c r="A26" s="324" t="s">
        <v>275</v>
      </c>
      <c r="B26" s="324"/>
      <c r="C26" s="325"/>
      <c r="D26" s="328"/>
      <c r="E26" s="329"/>
      <c r="F26" s="329"/>
      <c r="G26" s="326"/>
      <c r="H26" s="326"/>
      <c r="I26" s="326"/>
      <c r="J26" s="326"/>
      <c r="K26" s="326"/>
      <c r="L26" s="326"/>
      <c r="M26" s="326"/>
      <c r="N26" s="326"/>
      <c r="O26" s="326"/>
      <c r="P26" s="326"/>
      <c r="Q26" s="327"/>
    </row>
    <row r="27" spans="1:17" ht="15.75" thickTop="1" x14ac:dyDescent="0.25">
      <c r="A27" s="494" t="s">
        <v>3</v>
      </c>
      <c r="B27" s="495"/>
      <c r="C27" s="25" t="s">
        <v>25</v>
      </c>
      <c r="D27" s="280">
        <f t="shared" ref="D27:Q27" si="1">SUM(D16:D26)</f>
        <v>1386</v>
      </c>
      <c r="E27" s="281">
        <f t="shared" si="1"/>
        <v>1892</v>
      </c>
      <c r="F27" s="281">
        <f t="shared" si="1"/>
        <v>1928</v>
      </c>
      <c r="G27" s="281">
        <f t="shared" si="1"/>
        <v>0</v>
      </c>
      <c r="H27" s="281">
        <f t="shared" si="1"/>
        <v>0</v>
      </c>
      <c r="I27" s="282">
        <f t="shared" si="1"/>
        <v>0</v>
      </c>
      <c r="J27" s="282">
        <f t="shared" si="1"/>
        <v>0</v>
      </c>
      <c r="K27" s="282">
        <f t="shared" si="1"/>
        <v>0</v>
      </c>
      <c r="L27" s="282">
        <f t="shared" si="1"/>
        <v>0</v>
      </c>
      <c r="M27" s="282">
        <f t="shared" si="1"/>
        <v>0</v>
      </c>
      <c r="N27" s="282">
        <f t="shared" si="1"/>
        <v>0</v>
      </c>
      <c r="O27" s="282">
        <f t="shared" si="1"/>
        <v>0</v>
      </c>
      <c r="P27" s="282">
        <f t="shared" si="1"/>
        <v>0</v>
      </c>
      <c r="Q27" s="282">
        <f t="shared" si="1"/>
        <v>0</v>
      </c>
    </row>
    <row r="28" spans="1:17" ht="15.75" thickBot="1" x14ac:dyDescent="0.3">
      <c r="A28" s="496"/>
      <c r="B28" s="497"/>
      <c r="C28" s="25" t="s">
        <v>32</v>
      </c>
      <c r="D28" s="278">
        <f t="shared" ref="D28:Q28" si="2">D27*$D$11/1000</f>
        <v>812.93238180000003</v>
      </c>
      <c r="E28" s="279">
        <f t="shared" si="2"/>
        <v>1109.7172195999999</v>
      </c>
      <c r="F28" s="279">
        <f t="shared" si="2"/>
        <v>1130.8323464</v>
      </c>
      <c r="G28" s="279">
        <f t="shared" si="2"/>
        <v>0</v>
      </c>
      <c r="H28" s="279">
        <f t="shared" si="2"/>
        <v>0</v>
      </c>
      <c r="I28" s="279">
        <f t="shared" si="2"/>
        <v>0</v>
      </c>
      <c r="J28" s="279">
        <f t="shared" si="2"/>
        <v>0</v>
      </c>
      <c r="K28" s="279">
        <f t="shared" si="2"/>
        <v>0</v>
      </c>
      <c r="L28" s="279">
        <f t="shared" si="2"/>
        <v>0</v>
      </c>
      <c r="M28" s="279">
        <f t="shared" si="2"/>
        <v>0</v>
      </c>
      <c r="N28" s="279">
        <f t="shared" si="2"/>
        <v>0</v>
      </c>
      <c r="O28" s="279">
        <f t="shared" si="2"/>
        <v>0</v>
      </c>
      <c r="P28" s="279">
        <f t="shared" si="2"/>
        <v>0</v>
      </c>
      <c r="Q28" s="279">
        <f t="shared" si="2"/>
        <v>0</v>
      </c>
    </row>
    <row r="29" spans="1:17" ht="16.5" thickTop="1" thickBot="1" x14ac:dyDescent="0.3">
      <c r="A29" s="511" t="s">
        <v>273</v>
      </c>
      <c r="B29" s="511"/>
      <c r="C29" s="260" t="s">
        <v>26</v>
      </c>
      <c r="D29" s="355">
        <v>3050</v>
      </c>
      <c r="E29" s="356">
        <v>3055</v>
      </c>
      <c r="F29" s="356">
        <v>3060</v>
      </c>
      <c r="G29" s="356"/>
      <c r="H29" s="356"/>
      <c r="I29" s="356"/>
      <c r="J29" s="356"/>
      <c r="K29" s="356"/>
      <c r="L29" s="356"/>
      <c r="M29" s="356"/>
      <c r="N29" s="356"/>
      <c r="O29" s="356"/>
      <c r="P29" s="356"/>
      <c r="Q29" s="357"/>
    </row>
    <row r="30" spans="1:17" ht="15.75" thickTop="1" x14ac:dyDescent="0.25">
      <c r="A30" s="511" t="s">
        <v>43</v>
      </c>
      <c r="B30" s="511"/>
      <c r="C30" s="27" t="s">
        <v>44</v>
      </c>
      <c r="D30" s="270">
        <f>SUM(D16:D26)/D29</f>
        <v>0.45442622950819672</v>
      </c>
      <c r="E30" s="271">
        <f>SUM(E16:E26)/E29</f>
        <v>0.61931260229132568</v>
      </c>
      <c r="F30" s="271">
        <f>SUM(F16:F26)/F29</f>
        <v>0.63006535947712417</v>
      </c>
      <c r="G30" s="271">
        <f t="shared" ref="G30:Q30" si="3">IF(G27, SUM(G16:G26)/G29, 0)</f>
        <v>0</v>
      </c>
      <c r="H30" s="271">
        <f t="shared" si="3"/>
        <v>0</v>
      </c>
      <c r="I30" s="271">
        <f t="shared" si="3"/>
        <v>0</v>
      </c>
      <c r="J30" s="271">
        <f t="shared" si="3"/>
        <v>0</v>
      </c>
      <c r="K30" s="271">
        <f t="shared" si="3"/>
        <v>0</v>
      </c>
      <c r="L30" s="271">
        <f t="shared" si="3"/>
        <v>0</v>
      </c>
      <c r="M30" s="271">
        <f t="shared" si="3"/>
        <v>0</v>
      </c>
      <c r="N30" s="271">
        <f t="shared" si="3"/>
        <v>0</v>
      </c>
      <c r="O30" s="271">
        <f t="shared" si="3"/>
        <v>0</v>
      </c>
      <c r="P30" s="271">
        <f t="shared" si="3"/>
        <v>0</v>
      </c>
      <c r="Q30" s="271">
        <f t="shared" si="3"/>
        <v>0</v>
      </c>
    </row>
    <row r="31" spans="1:17" x14ac:dyDescent="0.25">
      <c r="A31" s="512" t="s">
        <v>285</v>
      </c>
      <c r="B31" s="513"/>
      <c r="C31" s="27" t="s">
        <v>32</v>
      </c>
      <c r="D31" s="404"/>
      <c r="E31" s="403">
        <f>IF(E28,$D$28-E28,0)</f>
        <v>-296.78483779999988</v>
      </c>
      <c r="F31" s="403">
        <f t="shared" ref="F31:Q31" si="4">IF(F28,$D$28-F28,0)</f>
        <v>-317.89996459999998</v>
      </c>
      <c r="G31" s="403">
        <f t="shared" si="4"/>
        <v>0</v>
      </c>
      <c r="H31" s="403">
        <f t="shared" si="4"/>
        <v>0</v>
      </c>
      <c r="I31" s="403">
        <f t="shared" si="4"/>
        <v>0</v>
      </c>
      <c r="J31" s="403">
        <f t="shared" si="4"/>
        <v>0</v>
      </c>
      <c r="K31" s="403">
        <f t="shared" si="4"/>
        <v>0</v>
      </c>
      <c r="L31" s="403">
        <f t="shared" si="4"/>
        <v>0</v>
      </c>
      <c r="M31" s="403">
        <f t="shared" si="4"/>
        <v>0</v>
      </c>
      <c r="N31" s="403">
        <f t="shared" si="4"/>
        <v>0</v>
      </c>
      <c r="O31" s="403">
        <f t="shared" si="4"/>
        <v>0</v>
      </c>
      <c r="P31" s="403">
        <f t="shared" si="4"/>
        <v>0</v>
      </c>
      <c r="Q31" s="403">
        <f t="shared" si="4"/>
        <v>0</v>
      </c>
    </row>
    <row r="32" spans="1:17" x14ac:dyDescent="0.25">
      <c r="A32" s="493" t="s">
        <v>39</v>
      </c>
      <c r="B32" s="493"/>
      <c r="C32" s="27" t="s">
        <v>40</v>
      </c>
      <c r="D32" s="30"/>
      <c r="E32" s="28">
        <f>($D$27-E27)/$D$27</f>
        <v>-0.36507936507936506</v>
      </c>
      <c r="F32" s="28">
        <f>($D$27-F27)/$D$27</f>
        <v>-0.39105339105339104</v>
      </c>
      <c r="G32" s="28">
        <f>IF(G27, ($D$27-G27)/$D$27, 0)</f>
        <v>0</v>
      </c>
      <c r="H32" s="28">
        <f t="shared" ref="H32:Q32" si="5">IF(H27, ($D$27-H27)/$D$27, 0)</f>
        <v>0</v>
      </c>
      <c r="I32" s="28">
        <f t="shared" si="5"/>
        <v>0</v>
      </c>
      <c r="J32" s="28">
        <f t="shared" si="5"/>
        <v>0</v>
      </c>
      <c r="K32" s="28">
        <f t="shared" si="5"/>
        <v>0</v>
      </c>
      <c r="L32" s="28">
        <f t="shared" si="5"/>
        <v>0</v>
      </c>
      <c r="M32" s="28">
        <f t="shared" si="5"/>
        <v>0</v>
      </c>
      <c r="N32" s="28">
        <f t="shared" si="5"/>
        <v>0</v>
      </c>
      <c r="O32" s="28">
        <f t="shared" si="5"/>
        <v>0</v>
      </c>
      <c r="P32" s="28">
        <f t="shared" si="5"/>
        <v>0</v>
      </c>
      <c r="Q32" s="28">
        <f t="shared" si="5"/>
        <v>0</v>
      </c>
    </row>
    <row r="42" spans="8:9" x14ac:dyDescent="0.25">
      <c r="H42" s="8"/>
      <c r="I42" s="8"/>
    </row>
  </sheetData>
  <sheetProtection algorithmName="SHA-512" hashValue="A4qEd7KeuE3cSEE0XTIq1vOJmjTYoNT7CRKBk/lIrDQv0RVXyS37CUz0kw0GQF1JeXgcBYtjqMcqtcSmQn2KNQ==" saltValue="aOi7ni8mFGarE9O5s+K0hg==" spinCount="100000" sheet="1" selectLockedCells="1"/>
  <mergeCells count="23">
    <mergeCell ref="A5:C5"/>
    <mergeCell ref="D5:H5"/>
    <mergeCell ref="A6:C6"/>
    <mergeCell ref="D6:H6"/>
    <mergeCell ref="A7:C7"/>
    <mergeCell ref="D7:H7"/>
    <mergeCell ref="A1:H1"/>
    <mergeCell ref="A3:C3"/>
    <mergeCell ref="D3:H3"/>
    <mergeCell ref="A4:C4"/>
    <mergeCell ref="D4:H4"/>
    <mergeCell ref="A10:C10"/>
    <mergeCell ref="A11:C11"/>
    <mergeCell ref="E9:F9"/>
    <mergeCell ref="A9:C9"/>
    <mergeCell ref="G9:H9"/>
    <mergeCell ref="D10:H10"/>
    <mergeCell ref="A13:F13"/>
    <mergeCell ref="A29:B29"/>
    <mergeCell ref="A30:B30"/>
    <mergeCell ref="A32:B32"/>
    <mergeCell ref="A27:B28"/>
    <mergeCell ref="A31:B31"/>
  </mergeCells>
  <dataValidations disablePrompts="1" count="1">
    <dataValidation type="list" allowBlank="1" showInputMessage="1" showErrorMessage="1" sqref="D9" xr:uid="{B5C0A2FB-77E4-415F-BC78-6CCAEB15CF7A}">
      <formula1>"Actual, Estimate"</formula1>
    </dataValidation>
  </dataValidations>
  <pageMargins left="0.43307086614173229" right="0.23622047244094491" top="0.74803149606299213" bottom="0.74803149606299213" header="0.31496062992125984" footer="0.31496062992125984"/>
  <pageSetup paperSize="9" orientation="portrait" r:id="rId1"/>
  <headerFooter>
    <oddHeader>&amp;LMALAYSIAN GREEN TECHNOLOGY AND CLIMATE CHANGE CORPORATION (MGTC)&amp;R&amp;10MGTC/DC/REC/LCC-011
Version:  1/ JUNE 2022</oddHeader>
    <oddFooter>&amp;L
&amp;A&amp;R
Page &amp;P of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03B02-6F6C-4E17-9160-AE38DC648191}">
  <sheetPr codeName="Sheet9"/>
  <dimension ref="A1:R42"/>
  <sheetViews>
    <sheetView view="pageLayout" zoomScale="85" zoomScaleNormal="100" zoomScalePageLayoutView="85" workbookViewId="0">
      <selection activeCell="A16" sqref="A16"/>
    </sheetView>
  </sheetViews>
  <sheetFormatPr defaultRowHeight="15" x14ac:dyDescent="0.25"/>
  <cols>
    <col min="1" max="1" width="4.85546875" customWidth="1"/>
    <col min="2" max="2" width="24" customWidth="1"/>
    <col min="3" max="3" width="6.28515625" customWidth="1"/>
    <col min="4" max="18" width="10.140625" customWidth="1"/>
  </cols>
  <sheetData>
    <row r="1" spans="1:18" ht="16.5" thickBot="1" x14ac:dyDescent="0.3">
      <c r="A1" s="475" t="s">
        <v>134</v>
      </c>
      <c r="B1" s="476"/>
      <c r="C1" s="476"/>
      <c r="D1" s="476"/>
      <c r="E1" s="476"/>
      <c r="F1" s="476"/>
      <c r="G1" s="476"/>
      <c r="H1" s="476"/>
      <c r="I1" s="477"/>
    </row>
    <row r="2" spans="1:18" ht="6.75" customHeight="1" x14ac:dyDescent="0.25"/>
    <row r="3" spans="1:18" x14ac:dyDescent="0.25">
      <c r="A3" s="470" t="s">
        <v>27</v>
      </c>
      <c r="B3" s="470"/>
      <c r="C3" s="470"/>
      <c r="D3" s="491" t="str">
        <f>'Summary (Main)'!D11:H11</f>
        <v>LCC-Z-B090-XX-XXXX</v>
      </c>
      <c r="E3" s="491"/>
      <c r="F3" s="491"/>
      <c r="G3" s="491"/>
      <c r="H3" s="491"/>
      <c r="I3" s="491"/>
    </row>
    <row r="4" spans="1:18" x14ac:dyDescent="0.25">
      <c r="A4" s="470" t="s">
        <v>78</v>
      </c>
      <c r="B4" s="470"/>
      <c r="C4" s="470"/>
      <c r="D4" s="491" t="str">
        <f>'Summary (Main)'!D12:H12</f>
        <v>MAJLIS PERBANDARAN XXY</v>
      </c>
      <c r="E4" s="491"/>
      <c r="F4" s="491"/>
      <c r="G4" s="491"/>
      <c r="H4" s="491"/>
      <c r="I4" s="491"/>
    </row>
    <row r="5" spans="1:18" x14ac:dyDescent="0.25">
      <c r="A5" s="470" t="s">
        <v>0</v>
      </c>
      <c r="B5" s="470"/>
      <c r="C5" s="470"/>
      <c r="D5" s="491" t="str">
        <f>'Summary (Main)'!D13:H13</f>
        <v>MAJLIS PERBANDARAN XXY</v>
      </c>
      <c r="E5" s="491"/>
      <c r="F5" s="491"/>
      <c r="G5" s="491"/>
      <c r="H5" s="491"/>
      <c r="I5" s="491"/>
    </row>
    <row r="6" spans="1:18" x14ac:dyDescent="0.25">
      <c r="A6" s="470" t="s">
        <v>129</v>
      </c>
      <c r="B6" s="470"/>
      <c r="C6" s="470"/>
      <c r="D6" s="491">
        <f>'Summary (Main)'!D14:H14</f>
        <v>77432</v>
      </c>
      <c r="E6" s="491"/>
      <c r="F6" s="491"/>
      <c r="G6" s="491"/>
      <c r="H6" s="491"/>
      <c r="I6" s="491"/>
    </row>
    <row r="7" spans="1:18" x14ac:dyDescent="0.25">
      <c r="A7" s="470" t="s">
        <v>137</v>
      </c>
      <c r="B7" s="470"/>
      <c r="C7" s="470"/>
      <c r="D7" s="491">
        <f>'Summary (Main)'!D15:H15</f>
        <v>451.36</v>
      </c>
      <c r="E7" s="491"/>
      <c r="F7" s="491"/>
      <c r="G7" s="491"/>
      <c r="H7" s="491"/>
      <c r="I7" s="491"/>
    </row>
    <row r="8" spans="1:18" ht="6.75" customHeight="1" x14ac:dyDescent="0.25">
      <c r="A8" s="5"/>
      <c r="B8" s="5"/>
      <c r="C8" s="5"/>
    </row>
    <row r="9" spans="1:18" x14ac:dyDescent="0.25">
      <c r="A9" s="492" t="s">
        <v>7</v>
      </c>
      <c r="B9" s="492"/>
      <c r="C9" s="525" t="s">
        <v>45</v>
      </c>
      <c r="D9" s="526"/>
      <c r="E9" s="492" t="s">
        <v>12</v>
      </c>
      <c r="F9" s="492"/>
      <c r="G9" s="524" t="s">
        <v>21</v>
      </c>
      <c r="H9" s="524"/>
      <c r="I9" s="524"/>
    </row>
    <row r="10" spans="1:18" x14ac:dyDescent="0.25">
      <c r="A10" s="492" t="s">
        <v>6</v>
      </c>
      <c r="B10" s="492"/>
      <c r="C10" s="521" t="s">
        <v>46</v>
      </c>
      <c r="D10" s="521"/>
      <c r="E10" s="521"/>
      <c r="F10" s="521"/>
      <c r="G10" s="521"/>
      <c r="H10" s="521"/>
      <c r="I10" s="521"/>
    </row>
    <row r="11" spans="1:18" x14ac:dyDescent="0.25">
      <c r="A11" s="22" t="s">
        <v>9</v>
      </c>
      <c r="B11" s="23"/>
      <c r="C11" s="3">
        <v>586.53129999999999</v>
      </c>
      <c r="D11" s="522" t="s">
        <v>23</v>
      </c>
      <c r="E11" s="522"/>
      <c r="F11" s="523" t="s">
        <v>24</v>
      </c>
      <c r="G11" s="523"/>
      <c r="H11" s="523"/>
      <c r="I11" s="523"/>
    </row>
    <row r="12" spans="1:18" ht="6.75" customHeight="1" x14ac:dyDescent="0.25"/>
    <row r="13" spans="1:18" x14ac:dyDescent="0.25">
      <c r="A13" s="498" t="s">
        <v>47</v>
      </c>
      <c r="B13" s="498"/>
      <c r="C13" s="498"/>
      <c r="D13" s="498"/>
      <c r="E13" s="498"/>
      <c r="F13" s="498"/>
      <c r="H13" s="3"/>
      <c r="I13" s="3"/>
    </row>
    <row r="14" spans="1:18" x14ac:dyDescent="0.25">
      <c r="D14" s="15" t="s">
        <v>82</v>
      </c>
      <c r="E14" s="17" t="s">
        <v>28</v>
      </c>
    </row>
    <row r="15" spans="1:18" ht="15.75" thickBot="1" x14ac:dyDescent="0.3">
      <c r="A15" s="25" t="s">
        <v>1</v>
      </c>
      <c r="B15" s="26" t="s">
        <v>146</v>
      </c>
      <c r="C15" s="25" t="s">
        <v>30</v>
      </c>
      <c r="D15" s="283"/>
      <c r="E15" s="272">
        <f>'Summary (Main)'!C29</f>
        <v>2017</v>
      </c>
      <c r="F15" s="273">
        <f>E15+1</f>
        <v>2018</v>
      </c>
      <c r="G15" s="273">
        <f t="shared" ref="G15:R15" si="0">F15+1</f>
        <v>2019</v>
      </c>
      <c r="H15" s="273">
        <f t="shared" si="0"/>
        <v>2020</v>
      </c>
      <c r="I15" s="273">
        <f t="shared" si="0"/>
        <v>2021</v>
      </c>
      <c r="J15" s="273">
        <f t="shared" si="0"/>
        <v>2022</v>
      </c>
      <c r="K15" s="273">
        <f t="shared" si="0"/>
        <v>2023</v>
      </c>
      <c r="L15" s="273">
        <f t="shared" si="0"/>
        <v>2024</v>
      </c>
      <c r="M15" s="273">
        <f t="shared" si="0"/>
        <v>2025</v>
      </c>
      <c r="N15" s="273">
        <f t="shared" si="0"/>
        <v>2026</v>
      </c>
      <c r="O15" s="273">
        <f t="shared" si="0"/>
        <v>2027</v>
      </c>
      <c r="P15" s="273">
        <f t="shared" si="0"/>
        <v>2028</v>
      </c>
      <c r="Q15" s="273">
        <f t="shared" si="0"/>
        <v>2029</v>
      </c>
      <c r="R15" s="273">
        <f t="shared" si="0"/>
        <v>2030</v>
      </c>
    </row>
    <row r="16" spans="1:18" ht="15.75" thickTop="1" x14ac:dyDescent="0.25">
      <c r="A16" s="341">
        <v>1</v>
      </c>
      <c r="B16" s="342" t="s">
        <v>140</v>
      </c>
      <c r="C16" s="343" t="s">
        <v>25</v>
      </c>
      <c r="D16" s="518">
        <f>1.35*D30*365/1000</f>
        <v>1502.8875</v>
      </c>
      <c r="E16" s="409">
        <v>234</v>
      </c>
      <c r="F16" s="410">
        <v>345</v>
      </c>
      <c r="G16" s="410">
        <v>550</v>
      </c>
      <c r="H16" s="410"/>
      <c r="I16" s="410"/>
      <c r="J16" s="410"/>
      <c r="K16" s="410"/>
      <c r="L16" s="410"/>
      <c r="M16" s="410"/>
      <c r="N16" s="410"/>
      <c r="O16" s="410"/>
      <c r="P16" s="410"/>
      <c r="Q16" s="410"/>
      <c r="R16" s="411"/>
    </row>
    <row r="17" spans="1:18" x14ac:dyDescent="0.25">
      <c r="A17" s="341">
        <v>2</v>
      </c>
      <c r="B17" s="342" t="s">
        <v>141</v>
      </c>
      <c r="C17" s="343" t="s">
        <v>25</v>
      </c>
      <c r="D17" s="519"/>
      <c r="E17" s="412"/>
      <c r="F17" s="413"/>
      <c r="G17" s="414"/>
      <c r="H17" s="414"/>
      <c r="I17" s="414"/>
      <c r="J17" s="414"/>
      <c r="K17" s="414"/>
      <c r="L17" s="414"/>
      <c r="M17" s="414"/>
      <c r="N17" s="414"/>
      <c r="O17" s="414"/>
      <c r="P17" s="414"/>
      <c r="Q17" s="414"/>
      <c r="R17" s="415"/>
    </row>
    <row r="18" spans="1:18" x14ac:dyDescent="0.25">
      <c r="A18" s="341">
        <v>3</v>
      </c>
      <c r="B18" s="342" t="s">
        <v>143</v>
      </c>
      <c r="C18" s="343" t="s">
        <v>25</v>
      </c>
      <c r="D18" s="519"/>
      <c r="E18" s="412"/>
      <c r="F18" s="413"/>
      <c r="G18" s="414"/>
      <c r="H18" s="414"/>
      <c r="I18" s="414"/>
      <c r="J18" s="414"/>
      <c r="K18" s="414"/>
      <c r="L18" s="414"/>
      <c r="M18" s="414"/>
      <c r="N18" s="414"/>
      <c r="O18" s="414"/>
      <c r="P18" s="414"/>
      <c r="Q18" s="414"/>
      <c r="R18" s="415"/>
    </row>
    <row r="19" spans="1:18" x14ac:dyDescent="0.25">
      <c r="A19" s="341">
        <v>4</v>
      </c>
      <c r="B19" s="342"/>
      <c r="C19" s="343" t="s">
        <v>25</v>
      </c>
      <c r="D19" s="519"/>
      <c r="E19" s="412"/>
      <c r="F19" s="413"/>
      <c r="G19" s="414"/>
      <c r="H19" s="414"/>
      <c r="I19" s="414"/>
      <c r="J19" s="414"/>
      <c r="K19" s="414"/>
      <c r="L19" s="414"/>
      <c r="M19" s="414"/>
      <c r="N19" s="414"/>
      <c r="O19" s="414"/>
      <c r="P19" s="414"/>
      <c r="Q19" s="414"/>
      <c r="R19" s="415"/>
    </row>
    <row r="20" spans="1:18" x14ac:dyDescent="0.25">
      <c r="A20" s="341">
        <v>5</v>
      </c>
      <c r="B20" s="342"/>
      <c r="C20" s="343" t="s">
        <v>25</v>
      </c>
      <c r="D20" s="519"/>
      <c r="E20" s="412"/>
      <c r="F20" s="413"/>
      <c r="G20" s="414"/>
      <c r="H20" s="414"/>
      <c r="I20" s="414"/>
      <c r="J20" s="414"/>
      <c r="K20" s="414"/>
      <c r="L20" s="414"/>
      <c r="M20" s="414"/>
      <c r="N20" s="414"/>
      <c r="O20" s="414"/>
      <c r="P20" s="414"/>
      <c r="Q20" s="414"/>
      <c r="R20" s="415"/>
    </row>
    <row r="21" spans="1:18" x14ac:dyDescent="0.25">
      <c r="A21" s="341">
        <v>6</v>
      </c>
      <c r="B21" s="342"/>
      <c r="C21" s="343" t="s">
        <v>25</v>
      </c>
      <c r="D21" s="519"/>
      <c r="E21" s="412"/>
      <c r="F21" s="413"/>
      <c r="G21" s="414"/>
      <c r="H21" s="414"/>
      <c r="I21" s="414"/>
      <c r="J21" s="414"/>
      <c r="K21" s="414"/>
      <c r="L21" s="414"/>
      <c r="M21" s="414"/>
      <c r="N21" s="414"/>
      <c r="O21" s="414"/>
      <c r="P21" s="414"/>
      <c r="Q21" s="414"/>
      <c r="R21" s="415"/>
    </row>
    <row r="22" spans="1:18" x14ac:dyDescent="0.25">
      <c r="A22" s="341">
        <v>7</v>
      </c>
      <c r="B22" s="342"/>
      <c r="C22" s="343" t="s">
        <v>25</v>
      </c>
      <c r="D22" s="519"/>
      <c r="E22" s="412"/>
      <c r="F22" s="413"/>
      <c r="G22" s="414"/>
      <c r="H22" s="414"/>
      <c r="I22" s="414"/>
      <c r="J22" s="414"/>
      <c r="K22" s="414"/>
      <c r="L22" s="414"/>
      <c r="M22" s="414"/>
      <c r="N22" s="414"/>
      <c r="O22" s="414"/>
      <c r="P22" s="414"/>
      <c r="Q22" s="414"/>
      <c r="R22" s="415"/>
    </row>
    <row r="23" spans="1:18" x14ac:dyDescent="0.25">
      <c r="A23" s="341">
        <v>8</v>
      </c>
      <c r="B23" s="342"/>
      <c r="C23" s="343" t="s">
        <v>25</v>
      </c>
      <c r="D23" s="519"/>
      <c r="E23" s="412"/>
      <c r="F23" s="413"/>
      <c r="G23" s="414"/>
      <c r="H23" s="414"/>
      <c r="I23" s="414"/>
      <c r="J23" s="414"/>
      <c r="K23" s="414"/>
      <c r="L23" s="414"/>
      <c r="M23" s="414"/>
      <c r="N23" s="414"/>
      <c r="O23" s="414"/>
      <c r="P23" s="414"/>
      <c r="Q23" s="414"/>
      <c r="R23" s="415"/>
    </row>
    <row r="24" spans="1:18" x14ac:dyDescent="0.25">
      <c r="A24" s="341">
        <v>9</v>
      </c>
      <c r="B24" s="342"/>
      <c r="C24" s="343" t="s">
        <v>25</v>
      </c>
      <c r="D24" s="519"/>
      <c r="E24" s="412"/>
      <c r="F24" s="413"/>
      <c r="G24" s="414"/>
      <c r="H24" s="414"/>
      <c r="I24" s="414"/>
      <c r="J24" s="414"/>
      <c r="K24" s="414"/>
      <c r="L24" s="414"/>
      <c r="M24" s="414"/>
      <c r="N24" s="414"/>
      <c r="O24" s="414"/>
      <c r="P24" s="414"/>
      <c r="Q24" s="414"/>
      <c r="R24" s="415"/>
    </row>
    <row r="25" spans="1:18" x14ac:dyDescent="0.25">
      <c r="A25" s="341">
        <v>10</v>
      </c>
      <c r="B25" s="342"/>
      <c r="C25" s="343" t="s">
        <v>25</v>
      </c>
      <c r="D25" s="519"/>
      <c r="E25" s="412"/>
      <c r="F25" s="413"/>
      <c r="G25" s="414"/>
      <c r="H25" s="414"/>
      <c r="I25" s="414"/>
      <c r="J25" s="414"/>
      <c r="K25" s="414"/>
      <c r="L25" s="414"/>
      <c r="M25" s="414"/>
      <c r="N25" s="414"/>
      <c r="O25" s="414"/>
      <c r="P25" s="414"/>
      <c r="Q25" s="414"/>
      <c r="R25" s="415"/>
    </row>
    <row r="26" spans="1:18" ht="15.75" thickBot="1" x14ac:dyDescent="0.3">
      <c r="A26" s="345" t="s">
        <v>275</v>
      </c>
      <c r="B26" s="345"/>
      <c r="C26" s="346"/>
      <c r="D26" s="520"/>
      <c r="E26" s="416"/>
      <c r="F26" s="416"/>
      <c r="G26" s="417"/>
      <c r="H26" s="417"/>
      <c r="I26" s="417"/>
      <c r="J26" s="417"/>
      <c r="K26" s="417"/>
      <c r="L26" s="417"/>
      <c r="M26" s="417"/>
      <c r="N26" s="417"/>
      <c r="O26" s="417"/>
      <c r="P26" s="417"/>
      <c r="Q26" s="417"/>
      <c r="R26" s="418"/>
    </row>
    <row r="27" spans="1:18" ht="15.75" thickTop="1" x14ac:dyDescent="0.25">
      <c r="A27" s="512" t="s">
        <v>49</v>
      </c>
      <c r="B27" s="513"/>
      <c r="C27" s="27" t="s">
        <v>25</v>
      </c>
      <c r="D27" s="19"/>
      <c r="E27" s="407">
        <f t="shared" ref="E27:R27" si="1">SUM(E16:E26)</f>
        <v>234</v>
      </c>
      <c r="F27" s="408">
        <f t="shared" si="1"/>
        <v>345</v>
      </c>
      <c r="G27" s="408">
        <f t="shared" si="1"/>
        <v>550</v>
      </c>
      <c r="H27" s="408">
        <f t="shared" si="1"/>
        <v>0</v>
      </c>
      <c r="I27" s="408">
        <f t="shared" si="1"/>
        <v>0</v>
      </c>
      <c r="J27" s="408">
        <f t="shared" si="1"/>
        <v>0</v>
      </c>
      <c r="K27" s="408">
        <f t="shared" si="1"/>
        <v>0</v>
      </c>
      <c r="L27" s="408">
        <f t="shared" si="1"/>
        <v>0</v>
      </c>
      <c r="M27" s="408">
        <f t="shared" si="1"/>
        <v>0</v>
      </c>
      <c r="N27" s="408">
        <f t="shared" si="1"/>
        <v>0</v>
      </c>
      <c r="O27" s="408">
        <f t="shared" si="1"/>
        <v>0</v>
      </c>
      <c r="P27" s="408">
        <f t="shared" si="1"/>
        <v>0</v>
      </c>
      <c r="Q27" s="408">
        <f t="shared" si="1"/>
        <v>0</v>
      </c>
      <c r="R27" s="408">
        <f t="shared" si="1"/>
        <v>0</v>
      </c>
    </row>
    <row r="28" spans="1:18" x14ac:dyDescent="0.25">
      <c r="A28" s="517" t="s">
        <v>48</v>
      </c>
      <c r="B28" s="495"/>
      <c r="C28" s="25" t="s">
        <v>25</v>
      </c>
      <c r="D28" s="16">
        <f>SUM(D16:D26)</f>
        <v>1502.8875</v>
      </c>
      <c r="E28" s="48">
        <f>$D$28-E27</f>
        <v>1268.8875</v>
      </c>
      <c r="F28" s="49">
        <f>IF(F27,$D$28-F27,0)</f>
        <v>1157.8875</v>
      </c>
      <c r="G28" s="49">
        <f t="shared" ref="G28:R28" si="2">IF(G27,$D$28-G27,0)</f>
        <v>952.88750000000005</v>
      </c>
      <c r="H28" s="49">
        <f t="shared" si="2"/>
        <v>0</v>
      </c>
      <c r="I28" s="49">
        <f t="shared" si="2"/>
        <v>0</v>
      </c>
      <c r="J28" s="49">
        <f t="shared" si="2"/>
        <v>0</v>
      </c>
      <c r="K28" s="49">
        <f t="shared" si="2"/>
        <v>0</v>
      </c>
      <c r="L28" s="49">
        <f t="shared" si="2"/>
        <v>0</v>
      </c>
      <c r="M28" s="49">
        <f t="shared" si="2"/>
        <v>0</v>
      </c>
      <c r="N28" s="49">
        <f t="shared" si="2"/>
        <v>0</v>
      </c>
      <c r="O28" s="49">
        <f t="shared" si="2"/>
        <v>0</v>
      </c>
      <c r="P28" s="49">
        <f t="shared" si="2"/>
        <v>0</v>
      </c>
      <c r="Q28" s="49">
        <f t="shared" si="2"/>
        <v>0</v>
      </c>
      <c r="R28" s="49">
        <f t="shared" si="2"/>
        <v>0</v>
      </c>
    </row>
    <row r="29" spans="1:18" ht="15.75" thickBot="1" x14ac:dyDescent="0.3">
      <c r="A29" s="496"/>
      <c r="B29" s="497"/>
      <c r="C29" s="25" t="s">
        <v>32</v>
      </c>
      <c r="D29" s="284">
        <f t="shared" ref="D29:R29" si="3">D28*$C$11/1000</f>
        <v>881.49055912874996</v>
      </c>
      <c r="E29" s="278">
        <f t="shared" si="3"/>
        <v>744.24223492875001</v>
      </c>
      <c r="F29" s="279">
        <f t="shared" si="3"/>
        <v>679.13726062874991</v>
      </c>
      <c r="G29" s="279">
        <f t="shared" si="3"/>
        <v>558.89834412875007</v>
      </c>
      <c r="H29" s="279">
        <f t="shared" si="3"/>
        <v>0</v>
      </c>
      <c r="I29" s="279">
        <f t="shared" si="3"/>
        <v>0</v>
      </c>
      <c r="J29" s="279">
        <f t="shared" si="3"/>
        <v>0</v>
      </c>
      <c r="K29" s="279">
        <f t="shared" si="3"/>
        <v>0</v>
      </c>
      <c r="L29" s="279">
        <f t="shared" si="3"/>
        <v>0</v>
      </c>
      <c r="M29" s="279">
        <f t="shared" si="3"/>
        <v>0</v>
      </c>
      <c r="N29" s="279">
        <f t="shared" si="3"/>
        <v>0</v>
      </c>
      <c r="O29" s="279">
        <f t="shared" si="3"/>
        <v>0</v>
      </c>
      <c r="P29" s="279">
        <f t="shared" si="3"/>
        <v>0</v>
      </c>
      <c r="Q29" s="279">
        <f t="shared" si="3"/>
        <v>0</v>
      </c>
      <c r="R29" s="279">
        <f t="shared" si="3"/>
        <v>0</v>
      </c>
    </row>
    <row r="30" spans="1:18" ht="16.5" thickTop="1" thickBot="1" x14ac:dyDescent="0.3">
      <c r="A30" s="511" t="s">
        <v>38</v>
      </c>
      <c r="B30" s="511"/>
      <c r="C30" s="260" t="s">
        <v>26</v>
      </c>
      <c r="D30" s="2">
        <f>'Summary (Main)'!G17</f>
        <v>3050</v>
      </c>
      <c r="E30" s="382">
        <f>D30</f>
        <v>3050</v>
      </c>
      <c r="F30" s="381"/>
      <c r="G30" s="356"/>
      <c r="H30" s="356"/>
      <c r="I30" s="356"/>
      <c r="J30" s="356"/>
      <c r="K30" s="356"/>
      <c r="L30" s="356"/>
      <c r="M30" s="356"/>
      <c r="N30" s="356"/>
      <c r="O30" s="356"/>
      <c r="P30" s="356"/>
      <c r="Q30" s="356"/>
      <c r="R30" s="357"/>
    </row>
    <row r="31" spans="1:18" ht="15.75" thickTop="1" x14ac:dyDescent="0.25">
      <c r="A31" s="511" t="s">
        <v>43</v>
      </c>
      <c r="B31" s="511"/>
      <c r="C31" s="27" t="s">
        <v>44</v>
      </c>
      <c r="D31" s="285">
        <f>SUM(D16:D26)/D30</f>
        <v>0.49275000000000002</v>
      </c>
      <c r="E31" s="270">
        <f t="shared" ref="E31:R31" si="4">E29/E30</f>
        <v>0.24401384751762295</v>
      </c>
      <c r="F31" s="271" t="e">
        <f t="shared" si="4"/>
        <v>#DIV/0!</v>
      </c>
      <c r="G31" s="271" t="e">
        <f t="shared" si="4"/>
        <v>#DIV/0!</v>
      </c>
      <c r="H31" s="271" t="e">
        <f t="shared" si="4"/>
        <v>#DIV/0!</v>
      </c>
      <c r="I31" s="271" t="e">
        <f t="shared" si="4"/>
        <v>#DIV/0!</v>
      </c>
      <c r="J31" s="271" t="e">
        <f t="shared" si="4"/>
        <v>#DIV/0!</v>
      </c>
      <c r="K31" s="271" t="e">
        <f t="shared" si="4"/>
        <v>#DIV/0!</v>
      </c>
      <c r="L31" s="271" t="e">
        <f t="shared" si="4"/>
        <v>#DIV/0!</v>
      </c>
      <c r="M31" s="271" t="e">
        <f t="shared" si="4"/>
        <v>#DIV/0!</v>
      </c>
      <c r="N31" s="271" t="e">
        <f t="shared" si="4"/>
        <v>#DIV/0!</v>
      </c>
      <c r="O31" s="271" t="e">
        <f t="shared" si="4"/>
        <v>#DIV/0!</v>
      </c>
      <c r="P31" s="271" t="e">
        <f t="shared" si="4"/>
        <v>#DIV/0!</v>
      </c>
      <c r="Q31" s="271" t="e">
        <f t="shared" si="4"/>
        <v>#DIV/0!</v>
      </c>
      <c r="R31" s="271" t="e">
        <f t="shared" si="4"/>
        <v>#DIV/0!</v>
      </c>
    </row>
    <row r="32" spans="1:18" x14ac:dyDescent="0.25">
      <c r="A32" s="512" t="s">
        <v>285</v>
      </c>
      <c r="B32" s="513"/>
      <c r="C32" s="27" t="s">
        <v>32</v>
      </c>
      <c r="D32" s="285"/>
      <c r="E32" s="270"/>
      <c r="F32" s="373">
        <f t="shared" ref="F32:R32" si="5">IF(F29,$E$29-F29,0)</f>
        <v>65.104974300000094</v>
      </c>
      <c r="G32" s="373">
        <f t="shared" si="5"/>
        <v>185.34389079999994</v>
      </c>
      <c r="H32" s="373">
        <f t="shared" si="5"/>
        <v>0</v>
      </c>
      <c r="I32" s="373">
        <f t="shared" si="5"/>
        <v>0</v>
      </c>
      <c r="J32" s="373">
        <f t="shared" si="5"/>
        <v>0</v>
      </c>
      <c r="K32" s="373">
        <f t="shared" si="5"/>
        <v>0</v>
      </c>
      <c r="L32" s="373">
        <f t="shared" si="5"/>
        <v>0</v>
      </c>
      <c r="M32" s="373">
        <f t="shared" si="5"/>
        <v>0</v>
      </c>
      <c r="N32" s="373">
        <f t="shared" si="5"/>
        <v>0</v>
      </c>
      <c r="O32" s="373">
        <f t="shared" si="5"/>
        <v>0</v>
      </c>
      <c r="P32" s="373">
        <f t="shared" si="5"/>
        <v>0</v>
      </c>
      <c r="Q32" s="373">
        <f t="shared" si="5"/>
        <v>0</v>
      </c>
      <c r="R32" s="373">
        <f t="shared" si="5"/>
        <v>0</v>
      </c>
    </row>
    <row r="33" spans="1:18" x14ac:dyDescent="0.25">
      <c r="A33" s="493" t="s">
        <v>39</v>
      </c>
      <c r="B33" s="493"/>
      <c r="C33" s="27" t="s">
        <v>40</v>
      </c>
      <c r="D33" s="30"/>
      <c r="E33" s="18">
        <f>($D$28-E28)/$D$28</f>
        <v>0.15570027696683883</v>
      </c>
      <c r="F33" s="28">
        <f>($D$28-F28)/$D$28</f>
        <v>0.22955810065623675</v>
      </c>
      <c r="G33" s="28">
        <f>($D$28-G28)/$D$28</f>
        <v>0.36596218945197162</v>
      </c>
      <c r="H33" s="28">
        <f>($D$28-H28)/$D$28</f>
        <v>1</v>
      </c>
      <c r="I33" s="28">
        <f>($D$28-I28)/$D$28</f>
        <v>1</v>
      </c>
      <c r="J33" s="28">
        <f t="shared" ref="J33:Q33" si="6">($D$28-J28)/$D$28</f>
        <v>1</v>
      </c>
      <c r="K33" s="28">
        <f t="shared" si="6"/>
        <v>1</v>
      </c>
      <c r="L33" s="28">
        <f t="shared" si="6"/>
        <v>1</v>
      </c>
      <c r="M33" s="28">
        <f t="shared" si="6"/>
        <v>1</v>
      </c>
      <c r="N33" s="28">
        <f t="shared" si="6"/>
        <v>1</v>
      </c>
      <c r="O33" s="28">
        <f t="shared" si="6"/>
        <v>1</v>
      </c>
      <c r="P33" s="28">
        <f t="shared" si="6"/>
        <v>1</v>
      </c>
      <c r="Q33" s="28">
        <f t="shared" si="6"/>
        <v>1</v>
      </c>
      <c r="R33" s="28">
        <f>($D$28-R28)/$D$28</f>
        <v>1</v>
      </c>
    </row>
    <row r="42" spans="1:18" x14ac:dyDescent="0.25">
      <c r="H42" s="8"/>
      <c r="I42" s="8"/>
    </row>
  </sheetData>
  <sheetProtection algorithmName="SHA-512" hashValue="MQ4Jddd98GtW+5eTNeWvZmtvIAL+8tSg+PZzIP5XJc3ywM7A/73ozx1F9afFtpw40Vi0HBsg2VI/T4EIdVVxdw==" saltValue="4N7WG6NOKz+prGAmrwOAUQ==" spinCount="100000" sheet="1" selectLockedCells="1"/>
  <mergeCells count="27">
    <mergeCell ref="A9:B9"/>
    <mergeCell ref="E9:F9"/>
    <mergeCell ref="G9:I9"/>
    <mergeCell ref="A1:I1"/>
    <mergeCell ref="A4:C4"/>
    <mergeCell ref="A5:C5"/>
    <mergeCell ref="A6:C6"/>
    <mergeCell ref="A7:C7"/>
    <mergeCell ref="A3:C3"/>
    <mergeCell ref="D3:I3"/>
    <mergeCell ref="D4:I4"/>
    <mergeCell ref="D5:I5"/>
    <mergeCell ref="D6:I6"/>
    <mergeCell ref="D7:I7"/>
    <mergeCell ref="C9:D9"/>
    <mergeCell ref="A10:B10"/>
    <mergeCell ref="C10:I10"/>
    <mergeCell ref="D11:E11"/>
    <mergeCell ref="F11:I11"/>
    <mergeCell ref="A13:F13"/>
    <mergeCell ref="A33:B33"/>
    <mergeCell ref="A28:B29"/>
    <mergeCell ref="A32:B32"/>
    <mergeCell ref="D16:D26"/>
    <mergeCell ref="A27:B27"/>
    <mergeCell ref="A30:B30"/>
    <mergeCell ref="A31:B31"/>
  </mergeCells>
  <dataValidations disablePrompts="1" count="1">
    <dataValidation type="list" allowBlank="1" showInputMessage="1" showErrorMessage="1" sqref="C9" xr:uid="{43E81938-61FC-40E2-9A1E-9D4FEA85B1E8}">
      <formula1>"Actual, Estimate"</formula1>
    </dataValidation>
  </dataValidations>
  <pageMargins left="0.43307086614173229" right="0.23622047244094491" top="0.74803149606299213" bottom="0.74803149606299213" header="0.31496062992125984" footer="0.31496062992125984"/>
  <pageSetup paperSize="9" orientation="portrait" r:id="rId1"/>
  <headerFooter>
    <oddHeader>&amp;LMALAYSIAN GREEN TECHNOLOGY AND CLIMATE CHANGE CORPORATION (MGTC)&amp;R&amp;10MGTC/DC/REC/LCC-011
Version: 1/ JUNE 2022</oddHeader>
    <oddFooter>&amp;L
&amp;A&amp;R
Page &amp;P of &amp;N</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907B2-AB68-491E-BA7F-E4FCC41A01D1}">
  <sheetPr codeName="Sheet10"/>
  <dimension ref="A1:I35"/>
  <sheetViews>
    <sheetView view="pageLayout" zoomScale="85" zoomScaleNormal="100" zoomScalePageLayoutView="85" workbookViewId="0">
      <selection activeCell="C24" sqref="C24"/>
    </sheetView>
  </sheetViews>
  <sheetFormatPr defaultRowHeight="15" x14ac:dyDescent="0.25"/>
  <cols>
    <col min="3" max="6" width="10.28515625" customWidth="1"/>
    <col min="7" max="7" width="14.28515625" customWidth="1"/>
    <col min="8" max="8" width="11.42578125" customWidth="1"/>
    <col min="9" max="9" width="10.28515625" customWidth="1"/>
  </cols>
  <sheetData>
    <row r="1" spans="1:9" ht="16.5" thickBot="1" x14ac:dyDescent="0.3">
      <c r="A1" s="475" t="s">
        <v>135</v>
      </c>
      <c r="B1" s="476"/>
      <c r="C1" s="476"/>
      <c r="D1" s="476"/>
      <c r="E1" s="476"/>
      <c r="F1" s="476"/>
      <c r="G1" s="476"/>
      <c r="H1" s="476"/>
      <c r="I1" s="477"/>
    </row>
    <row r="2" spans="1:9" ht="6.75" customHeight="1" x14ac:dyDescent="0.25"/>
    <row r="3" spans="1:9" x14ac:dyDescent="0.25">
      <c r="A3" s="470" t="s">
        <v>27</v>
      </c>
      <c r="B3" s="470"/>
      <c r="C3" s="470"/>
      <c r="D3" s="491" t="str">
        <f>'Summary (Main)'!D11:H11</f>
        <v>LCC-Z-B090-XX-XXXX</v>
      </c>
      <c r="E3" s="491"/>
      <c r="F3" s="491"/>
      <c r="G3" s="491"/>
      <c r="H3" s="491"/>
      <c r="I3" s="491"/>
    </row>
    <row r="4" spans="1:9" x14ac:dyDescent="0.25">
      <c r="A4" s="470" t="s">
        <v>78</v>
      </c>
      <c r="B4" s="470"/>
      <c r="C4" s="470"/>
      <c r="D4" s="491" t="str">
        <f>'Summary (Main)'!D12:H12</f>
        <v>MAJLIS PERBANDARAN XXY</v>
      </c>
      <c r="E4" s="491"/>
      <c r="F4" s="491"/>
      <c r="G4" s="491"/>
      <c r="H4" s="491"/>
      <c r="I4" s="491"/>
    </row>
    <row r="5" spans="1:9" x14ac:dyDescent="0.25">
      <c r="A5" s="470" t="s">
        <v>0</v>
      </c>
      <c r="B5" s="470"/>
      <c r="C5" s="470"/>
      <c r="D5" s="491" t="str">
        <f>'Summary (Main)'!D13:H13</f>
        <v>MAJLIS PERBANDARAN XXY</v>
      </c>
      <c r="E5" s="491"/>
      <c r="F5" s="491"/>
      <c r="G5" s="491"/>
      <c r="H5" s="491"/>
      <c r="I5" s="491"/>
    </row>
    <row r="6" spans="1:9" x14ac:dyDescent="0.25">
      <c r="A6" s="470" t="s">
        <v>129</v>
      </c>
      <c r="B6" s="470"/>
      <c r="C6" s="470"/>
      <c r="D6" s="491">
        <f>'Summary (Main)'!D14:H14</f>
        <v>77432</v>
      </c>
      <c r="E6" s="491"/>
      <c r="F6" s="491"/>
      <c r="G6" s="491"/>
      <c r="H6" s="491"/>
      <c r="I6" s="491"/>
    </row>
    <row r="7" spans="1:9" x14ac:dyDescent="0.25">
      <c r="A7" s="470" t="s">
        <v>137</v>
      </c>
      <c r="B7" s="470"/>
      <c r="C7" s="470"/>
      <c r="D7" s="491">
        <f>'Summary (Main)'!D15:H15</f>
        <v>451.36</v>
      </c>
      <c r="E7" s="491"/>
      <c r="F7" s="491"/>
      <c r="G7" s="491"/>
      <c r="H7" s="491"/>
      <c r="I7" s="491"/>
    </row>
    <row r="8" spans="1:9" ht="6.75" customHeight="1" x14ac:dyDescent="0.25">
      <c r="A8" s="5"/>
      <c r="B8" s="5"/>
      <c r="C8" s="5"/>
    </row>
    <row r="9" spans="1:9" x14ac:dyDescent="0.25">
      <c r="A9" s="492" t="s">
        <v>7</v>
      </c>
      <c r="B9" s="492"/>
      <c r="C9" s="29" t="s">
        <v>8</v>
      </c>
      <c r="D9" s="3"/>
      <c r="E9" s="492" t="s">
        <v>12</v>
      </c>
      <c r="F9" s="492"/>
      <c r="G9" s="524" t="s">
        <v>50</v>
      </c>
      <c r="H9" s="524"/>
      <c r="I9" s="524"/>
    </row>
    <row r="10" spans="1:9" x14ac:dyDescent="0.25">
      <c r="A10" s="492" t="s">
        <v>6</v>
      </c>
      <c r="B10" s="492"/>
      <c r="C10" s="521" t="s">
        <v>286</v>
      </c>
      <c r="D10" s="521"/>
      <c r="E10" s="521"/>
      <c r="F10" s="521"/>
      <c r="G10" s="521"/>
      <c r="H10" s="521"/>
      <c r="I10" s="521"/>
    </row>
    <row r="11" spans="1:9" x14ac:dyDescent="0.25">
      <c r="A11" s="498" t="s">
        <v>53</v>
      </c>
      <c r="B11" s="498"/>
      <c r="C11" s="498"/>
      <c r="D11" s="523" t="s">
        <v>5</v>
      </c>
      <c r="E11" s="523"/>
      <c r="F11" s="12">
        <v>14400</v>
      </c>
      <c r="G11" s="523" t="s">
        <v>52</v>
      </c>
      <c r="H11" s="523"/>
      <c r="I11" s="3" t="s">
        <v>58</v>
      </c>
    </row>
    <row r="12" spans="1:9" x14ac:dyDescent="0.25">
      <c r="A12" s="1"/>
      <c r="D12" s="523" t="s">
        <v>4</v>
      </c>
      <c r="E12" s="523"/>
      <c r="F12" s="12">
        <v>2000</v>
      </c>
      <c r="G12" s="523" t="s">
        <v>52</v>
      </c>
      <c r="H12" s="523"/>
      <c r="I12" s="6"/>
    </row>
    <row r="13" spans="1:9" x14ac:dyDescent="0.25">
      <c r="A13" s="1"/>
      <c r="D13" s="523" t="s">
        <v>51</v>
      </c>
      <c r="E13" s="523"/>
      <c r="F13" s="12">
        <v>2560</v>
      </c>
      <c r="G13" s="523" t="s">
        <v>52</v>
      </c>
      <c r="H13" s="523"/>
      <c r="I13" s="6"/>
    </row>
    <row r="14" spans="1:9" x14ac:dyDescent="0.25">
      <c r="A14" s="1"/>
      <c r="D14" s="523" t="s">
        <v>56</v>
      </c>
      <c r="E14" s="523"/>
      <c r="F14" s="12">
        <v>30</v>
      </c>
      <c r="G14" s="523" t="s">
        <v>57</v>
      </c>
      <c r="H14" s="523"/>
      <c r="I14" s="340" t="s">
        <v>276</v>
      </c>
    </row>
    <row r="15" spans="1:9" x14ac:dyDescent="0.25">
      <c r="A15" s="1"/>
      <c r="D15" s="6" t="s">
        <v>277</v>
      </c>
      <c r="E15" s="6"/>
      <c r="F15" s="12">
        <v>40</v>
      </c>
      <c r="G15" s="523" t="s">
        <v>57</v>
      </c>
      <c r="H15" s="523"/>
      <c r="I15" s="340" t="s">
        <v>276</v>
      </c>
    </row>
    <row r="16" spans="1:9" ht="6.75" customHeight="1" x14ac:dyDescent="0.25"/>
    <row r="17" spans="1:9" x14ac:dyDescent="0.25">
      <c r="A17" s="498" t="s">
        <v>54</v>
      </c>
      <c r="B17" s="498"/>
      <c r="C17" s="498"/>
      <c r="D17" s="498"/>
      <c r="E17" s="498"/>
      <c r="F17" s="498"/>
      <c r="H17" s="3"/>
      <c r="I17" s="3"/>
    </row>
    <row r="18" spans="1:9" ht="6.75" customHeight="1" x14ac:dyDescent="0.25">
      <c r="C18" s="3"/>
      <c r="D18" s="3"/>
      <c r="E18" s="3"/>
      <c r="F18" s="3"/>
    </row>
    <row r="19" spans="1:9" x14ac:dyDescent="0.25">
      <c r="A19" s="532" t="s">
        <v>1</v>
      </c>
      <c r="B19" s="494" t="s">
        <v>55</v>
      </c>
      <c r="C19" s="534" t="s">
        <v>303</v>
      </c>
      <c r="D19" s="528" t="s">
        <v>304</v>
      </c>
      <c r="E19" s="528" t="s">
        <v>305</v>
      </c>
      <c r="F19" s="517" t="s">
        <v>306</v>
      </c>
      <c r="G19" s="26" t="s">
        <v>307</v>
      </c>
      <c r="H19" s="26" t="s">
        <v>308</v>
      </c>
      <c r="I19" s="528" t="s">
        <v>309</v>
      </c>
    </row>
    <row r="20" spans="1:9" ht="15.75" thickBot="1" x14ac:dyDescent="0.3">
      <c r="A20" s="533"/>
      <c r="B20" s="496"/>
      <c r="C20" s="535"/>
      <c r="D20" s="536"/>
      <c r="E20" s="536"/>
      <c r="F20" s="527"/>
      <c r="G20" s="530" t="s">
        <v>32</v>
      </c>
      <c r="H20" s="531"/>
      <c r="I20" s="529"/>
    </row>
    <row r="21" spans="1:9" ht="15.75" thickTop="1" x14ac:dyDescent="0.25">
      <c r="A21" s="358" t="s">
        <v>59</v>
      </c>
      <c r="B21" s="359">
        <f>'Summary (Main)'!$C$17</f>
        <v>2017</v>
      </c>
      <c r="C21" s="360"/>
      <c r="D21" s="458"/>
      <c r="E21" s="459"/>
      <c r="F21" s="460">
        <v>70</v>
      </c>
      <c r="G21" s="461">
        <f t="shared" ref="G21:G23" si="0">((C21*$F$11)+(D21*$F$12)+(E21*$F$13)+(F21*$F$14))/1000</f>
        <v>2.1</v>
      </c>
      <c r="H21" s="454"/>
      <c r="I21" s="455"/>
    </row>
    <row r="22" spans="1:9" x14ac:dyDescent="0.25">
      <c r="A22" s="301">
        <v>1</v>
      </c>
      <c r="B22" s="300">
        <f>B21+1</f>
        <v>2018</v>
      </c>
      <c r="C22" s="361"/>
      <c r="D22" s="395"/>
      <c r="E22" s="395"/>
      <c r="F22" s="400">
        <v>100</v>
      </c>
      <c r="G22" s="462">
        <f>((C22*$F$11)+(D22*$F$12)+(E22*$F$13)+(F22*$F$14))/1000</f>
        <v>3</v>
      </c>
      <c r="H22" s="457">
        <f>IF(G22,G22-$G$21,0)</f>
        <v>0.89999999999999991</v>
      </c>
      <c r="I22" s="456">
        <f>IF(G22,H22/$G$21,0)</f>
        <v>0.42857142857142849</v>
      </c>
    </row>
    <row r="23" spans="1:9" x14ac:dyDescent="0.25">
      <c r="A23" s="301">
        <f>A22+1</f>
        <v>2</v>
      </c>
      <c r="B23" s="300">
        <f t="shared" ref="B23:B34" si="1">B22+1</f>
        <v>2019</v>
      </c>
      <c r="C23" s="361"/>
      <c r="D23" s="395"/>
      <c r="E23" s="395"/>
      <c r="F23" s="400">
        <v>80</v>
      </c>
      <c r="G23" s="462">
        <f t="shared" si="0"/>
        <v>2.4</v>
      </c>
      <c r="H23" s="457">
        <f t="shared" ref="H23:H34" si="2">IF(G23,G23-$G$21,0)</f>
        <v>0.29999999999999982</v>
      </c>
      <c r="I23" s="456">
        <f t="shared" ref="I23:I34" si="3">IF(G23,H23/$G$21,0)</f>
        <v>0.14285714285714277</v>
      </c>
    </row>
    <row r="24" spans="1:9" x14ac:dyDescent="0.25">
      <c r="A24" s="301">
        <f t="shared" ref="A24:A34" si="4">A23+1</f>
        <v>3</v>
      </c>
      <c r="B24" s="300">
        <f t="shared" si="1"/>
        <v>2020</v>
      </c>
      <c r="C24" s="361"/>
      <c r="D24" s="362"/>
      <c r="E24" s="362"/>
      <c r="F24" s="363"/>
      <c r="G24" s="462">
        <f t="shared" ref="G24:G34" si="5">((C24*$F$11)+(D24*$F$12)+(E24*$F$13)+(F24*$F$14))/1000</f>
        <v>0</v>
      </c>
      <c r="H24" s="457">
        <f t="shared" si="2"/>
        <v>0</v>
      </c>
      <c r="I24" s="456">
        <f t="shared" si="3"/>
        <v>0</v>
      </c>
    </row>
    <row r="25" spans="1:9" x14ac:dyDescent="0.25">
      <c r="A25" s="301">
        <f t="shared" si="4"/>
        <v>4</v>
      </c>
      <c r="B25" s="300">
        <f t="shared" si="1"/>
        <v>2021</v>
      </c>
      <c r="C25" s="361"/>
      <c r="D25" s="362"/>
      <c r="E25" s="362"/>
      <c r="F25" s="363"/>
      <c r="G25" s="462">
        <f t="shared" si="5"/>
        <v>0</v>
      </c>
      <c r="H25" s="457">
        <f t="shared" si="2"/>
        <v>0</v>
      </c>
      <c r="I25" s="456">
        <f t="shared" si="3"/>
        <v>0</v>
      </c>
    </row>
    <row r="26" spans="1:9" x14ac:dyDescent="0.25">
      <c r="A26" s="301">
        <f t="shared" si="4"/>
        <v>5</v>
      </c>
      <c r="B26" s="300">
        <f t="shared" si="1"/>
        <v>2022</v>
      </c>
      <c r="C26" s="361"/>
      <c r="D26" s="362"/>
      <c r="E26" s="362"/>
      <c r="F26" s="363"/>
      <c r="G26" s="462">
        <f t="shared" si="5"/>
        <v>0</v>
      </c>
      <c r="H26" s="457">
        <f t="shared" si="2"/>
        <v>0</v>
      </c>
      <c r="I26" s="456">
        <f t="shared" si="3"/>
        <v>0</v>
      </c>
    </row>
    <row r="27" spans="1:9" x14ac:dyDescent="0.25">
      <c r="A27" s="301">
        <f t="shared" si="4"/>
        <v>6</v>
      </c>
      <c r="B27" s="300">
        <f t="shared" si="1"/>
        <v>2023</v>
      </c>
      <c r="C27" s="361"/>
      <c r="D27" s="362"/>
      <c r="E27" s="362"/>
      <c r="F27" s="363"/>
      <c r="G27" s="462">
        <f t="shared" si="5"/>
        <v>0</v>
      </c>
      <c r="H27" s="457">
        <f t="shared" si="2"/>
        <v>0</v>
      </c>
      <c r="I27" s="456">
        <f t="shared" si="3"/>
        <v>0</v>
      </c>
    </row>
    <row r="28" spans="1:9" x14ac:dyDescent="0.25">
      <c r="A28" s="301">
        <f t="shared" si="4"/>
        <v>7</v>
      </c>
      <c r="B28" s="300">
        <f t="shared" si="1"/>
        <v>2024</v>
      </c>
      <c r="C28" s="361"/>
      <c r="D28" s="362"/>
      <c r="E28" s="362"/>
      <c r="F28" s="363"/>
      <c r="G28" s="462">
        <f t="shared" si="5"/>
        <v>0</v>
      </c>
      <c r="H28" s="457">
        <f t="shared" si="2"/>
        <v>0</v>
      </c>
      <c r="I28" s="456">
        <f t="shared" si="3"/>
        <v>0</v>
      </c>
    </row>
    <row r="29" spans="1:9" x14ac:dyDescent="0.25">
      <c r="A29" s="301">
        <f t="shared" si="4"/>
        <v>8</v>
      </c>
      <c r="B29" s="300">
        <f t="shared" si="1"/>
        <v>2025</v>
      </c>
      <c r="C29" s="361"/>
      <c r="D29" s="362"/>
      <c r="E29" s="362"/>
      <c r="F29" s="363"/>
      <c r="G29" s="462">
        <f t="shared" si="5"/>
        <v>0</v>
      </c>
      <c r="H29" s="457">
        <f t="shared" si="2"/>
        <v>0</v>
      </c>
      <c r="I29" s="456">
        <f t="shared" si="3"/>
        <v>0</v>
      </c>
    </row>
    <row r="30" spans="1:9" x14ac:dyDescent="0.25">
      <c r="A30" s="301">
        <f t="shared" si="4"/>
        <v>9</v>
      </c>
      <c r="B30" s="300">
        <f t="shared" si="1"/>
        <v>2026</v>
      </c>
      <c r="C30" s="361"/>
      <c r="D30" s="362"/>
      <c r="E30" s="362"/>
      <c r="F30" s="363"/>
      <c r="G30" s="462">
        <f t="shared" si="5"/>
        <v>0</v>
      </c>
      <c r="H30" s="457">
        <f t="shared" si="2"/>
        <v>0</v>
      </c>
      <c r="I30" s="456">
        <f t="shared" si="3"/>
        <v>0</v>
      </c>
    </row>
    <row r="31" spans="1:9" x14ac:dyDescent="0.25">
      <c r="A31" s="301">
        <f t="shared" si="4"/>
        <v>10</v>
      </c>
      <c r="B31" s="300">
        <f t="shared" si="1"/>
        <v>2027</v>
      </c>
      <c r="C31" s="364"/>
      <c r="D31" s="365"/>
      <c r="E31" s="365"/>
      <c r="F31" s="366"/>
      <c r="G31" s="462">
        <f t="shared" si="5"/>
        <v>0</v>
      </c>
      <c r="H31" s="457">
        <f t="shared" si="2"/>
        <v>0</v>
      </c>
      <c r="I31" s="456">
        <f t="shared" si="3"/>
        <v>0</v>
      </c>
    </row>
    <row r="32" spans="1:9" x14ac:dyDescent="0.25">
      <c r="A32" s="301">
        <f t="shared" si="4"/>
        <v>11</v>
      </c>
      <c r="B32" s="300">
        <f t="shared" si="1"/>
        <v>2028</v>
      </c>
      <c r="C32" s="364"/>
      <c r="D32" s="365"/>
      <c r="E32" s="365"/>
      <c r="F32" s="366"/>
      <c r="G32" s="462">
        <f t="shared" si="5"/>
        <v>0</v>
      </c>
      <c r="H32" s="457">
        <f t="shared" si="2"/>
        <v>0</v>
      </c>
      <c r="I32" s="456">
        <f t="shared" si="3"/>
        <v>0</v>
      </c>
    </row>
    <row r="33" spans="1:9" x14ac:dyDescent="0.25">
      <c r="A33" s="301">
        <f t="shared" si="4"/>
        <v>12</v>
      </c>
      <c r="B33" s="300">
        <f t="shared" si="1"/>
        <v>2029</v>
      </c>
      <c r="C33" s="364"/>
      <c r="D33" s="365"/>
      <c r="E33" s="365"/>
      <c r="F33" s="366"/>
      <c r="G33" s="462">
        <f t="shared" si="5"/>
        <v>0</v>
      </c>
      <c r="H33" s="457">
        <f t="shared" si="2"/>
        <v>0</v>
      </c>
      <c r="I33" s="456">
        <f t="shared" si="3"/>
        <v>0</v>
      </c>
    </row>
    <row r="34" spans="1:9" ht="15.75" thickBot="1" x14ac:dyDescent="0.3">
      <c r="A34" s="301">
        <f t="shared" si="4"/>
        <v>13</v>
      </c>
      <c r="B34" s="300">
        <f t="shared" si="1"/>
        <v>2030</v>
      </c>
      <c r="C34" s="367"/>
      <c r="D34" s="368"/>
      <c r="E34" s="368"/>
      <c r="F34" s="369"/>
      <c r="G34" s="462">
        <f t="shared" si="5"/>
        <v>0</v>
      </c>
      <c r="H34" s="457">
        <f t="shared" si="2"/>
        <v>0</v>
      </c>
      <c r="I34" s="456">
        <f t="shared" si="3"/>
        <v>0</v>
      </c>
    </row>
    <row r="35" spans="1:9" ht="15.75" thickTop="1" x14ac:dyDescent="0.25"/>
  </sheetData>
  <sheetProtection algorithmName="SHA-512" hashValue="Y8N9ydy00JsKL9FV5vVhBc0G8xGlQNlVVuYqhctDmBcGlxtCarevxWSV602C0QdUvrWSUDErFwSe544H8MglRQ==" saltValue="XR6JTFcjepdl7bmzcWratA==" spinCount="100000" sheet="1" selectLockedCells="1"/>
  <mergeCells count="35">
    <mergeCell ref="A9:B9"/>
    <mergeCell ref="E9:F9"/>
    <mergeCell ref="G9:I9"/>
    <mergeCell ref="A10:B10"/>
    <mergeCell ref="C10:I10"/>
    <mergeCell ref="G11:H11"/>
    <mergeCell ref="G12:H12"/>
    <mergeCell ref="A1:I1"/>
    <mergeCell ref="A4:C4"/>
    <mergeCell ref="A5:C5"/>
    <mergeCell ref="A6:C6"/>
    <mergeCell ref="A7:C7"/>
    <mergeCell ref="A3:C3"/>
    <mergeCell ref="D3:I3"/>
    <mergeCell ref="D4:I4"/>
    <mergeCell ref="D5:I5"/>
    <mergeCell ref="D6:I6"/>
    <mergeCell ref="D7:I7"/>
    <mergeCell ref="D11:E11"/>
    <mergeCell ref="A11:C11"/>
    <mergeCell ref="D12:E12"/>
    <mergeCell ref="G13:H13"/>
    <mergeCell ref="D14:E14"/>
    <mergeCell ref="G14:H14"/>
    <mergeCell ref="G15:H15"/>
    <mergeCell ref="A17:F17"/>
    <mergeCell ref="D13:E13"/>
    <mergeCell ref="F19:F20"/>
    <mergeCell ref="I19:I20"/>
    <mergeCell ref="G20:H20"/>
    <mergeCell ref="A19:A20"/>
    <mergeCell ref="B19:B20"/>
    <mergeCell ref="C19:C20"/>
    <mergeCell ref="D19:D20"/>
    <mergeCell ref="E19:E20"/>
  </mergeCells>
  <dataValidations disablePrompts="1" count="1">
    <dataValidation type="list" allowBlank="1" showInputMessage="1" showErrorMessage="1" sqref="C9" xr:uid="{7853362A-5538-432F-980F-FE34BFC87A2A}">
      <formula1>"Actual, Estimate"</formula1>
    </dataValidation>
  </dataValidations>
  <pageMargins left="0.43307086614173229" right="0.23622047244094491" top="0.74803149606299213" bottom="0.74803149606299213" header="0.31496062992125984" footer="0.31496062992125984"/>
  <pageSetup paperSize="9" orientation="portrait" r:id="rId1"/>
  <headerFooter>
    <oddHeader>&amp;LMALAYSIAN GREEN TECHNOLOGY AND CLIMATE CHANGE CORPORATION (MGTC)&amp;R&amp;10MGTC/DC/REC/LCC-011
Version:  1/ JUNE 2022</oddHeader>
    <oddFooter>&amp;L
&amp;A&amp;R
Page &amp;P of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16</vt:i4>
      </vt:variant>
    </vt:vector>
  </HeadingPairs>
  <TitlesOfParts>
    <vt:vector size="36" baseType="lpstr">
      <vt:lpstr>Summary (old)</vt:lpstr>
      <vt:lpstr>BAU (Same Year)</vt:lpstr>
      <vt:lpstr>Summary (Main)</vt:lpstr>
      <vt:lpstr>BAU (Diff Year)</vt:lpstr>
      <vt:lpstr>Energy</vt:lpstr>
      <vt:lpstr>Water</vt:lpstr>
      <vt:lpstr>Waste 1 - Actual</vt:lpstr>
      <vt:lpstr>Waste 2 - Estimate</vt:lpstr>
      <vt:lpstr>Greenery </vt:lpstr>
      <vt:lpstr>Mobility 2 - Traffic (ORI)VOID</vt:lpstr>
      <vt:lpstr>Mobility 1 - Actual</vt:lpstr>
      <vt:lpstr>Mobility 2 - Estimate</vt:lpstr>
      <vt:lpstr>Mobility 2 - Traffic DATA 2017</vt:lpstr>
      <vt:lpstr>Mobility 2 - Traffic DATA 2018</vt:lpstr>
      <vt:lpstr>Mobility 2 - Traffic DATA 2019</vt:lpstr>
      <vt:lpstr>Mobility 2 - Traffic DATA 2020</vt:lpstr>
      <vt:lpstr>Mobility 2 - Traffic DATA 2021</vt:lpstr>
      <vt:lpstr>Mobility 2 - Traffic DATA 2022</vt:lpstr>
      <vt:lpstr>Mobility 2 - Traffic 2017 (BAK)</vt:lpstr>
      <vt:lpstr>Mobility 2 - Traffic (void2)</vt:lpstr>
      <vt:lpstr>'Summary (old)'!OLE_LINK1</vt:lpstr>
      <vt:lpstr>Energy!Print_Area</vt:lpstr>
      <vt:lpstr>'Greenery '!Print_Area</vt:lpstr>
      <vt:lpstr>'Mobility 1 - Actual'!Print_Area</vt:lpstr>
      <vt:lpstr>'Mobility 2 - Estimate'!Print_Area</vt:lpstr>
      <vt:lpstr>'Mobility 2 - Traffic 2017 (BAK)'!Print_Area</vt:lpstr>
      <vt:lpstr>'Mobility 2 - Traffic DATA 2017'!Print_Area</vt:lpstr>
      <vt:lpstr>'Mobility 2 - Traffic DATA 2018'!Print_Area</vt:lpstr>
      <vt:lpstr>'Mobility 2 - Traffic DATA 2019'!Print_Area</vt:lpstr>
      <vt:lpstr>'Mobility 2 - Traffic DATA 2020'!Print_Area</vt:lpstr>
      <vt:lpstr>'Mobility 2 - Traffic DATA 2021'!Print_Area</vt:lpstr>
      <vt:lpstr>'Mobility 2 - Traffic DATA 2022'!Print_Area</vt:lpstr>
      <vt:lpstr>'Summary (Main)'!Print_Area</vt:lpstr>
      <vt:lpstr>'Waste 1 - Actual'!Print_Area</vt:lpstr>
      <vt:lpstr>'Waste 2 - Estimate'!Print_Area</vt:lpstr>
      <vt:lpstr>Water!Print_Area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2023-02-14T03:26:24Z</dcterms:modified>
</cp:coreProperties>
</file>